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Users\Giorgia\Desktop\"/>
    </mc:Choice>
  </mc:AlternateContent>
  <xr:revisionPtr revIDLastSave="0" documentId="13_ncr:1_{1839FC0C-B476-4225-9D8F-91A91BF0D0E5}" xr6:coauthVersionLast="47" xr6:coauthVersionMax="47" xr10:uidLastSave="{00000000-0000-0000-0000-000000000000}"/>
  <bookViews>
    <workbookView xWindow="552" yWindow="732" windowWidth="22488" windowHeight="11508" firstSheet="4" activeTab="8" xr2:uid="{4E773992-102E-48E0-99DF-0DEF2B73AD55}"/>
  </bookViews>
  <sheets>
    <sheet name="Juakit BP" sheetId="1" r:id="rId1"/>
    <sheet name="Analisi di mercato" sheetId="2" r:id="rId2"/>
    <sheet name="Analisi dei competitors" sheetId="3" r:id="rId3"/>
    <sheet name="Analisi costi prototipo" sheetId="4" r:id="rId4"/>
    <sheet name="Spiegazioni dei valori di costo" sheetId="5" r:id="rId5"/>
    <sheet name="Costi variabili e Costi fissi" sheetId="6" r:id="rId6"/>
    <sheet name="OPEX e altri costi" sheetId="7" r:id="rId7"/>
    <sheet name="Financial Plan" sheetId="8" r:id="rId8"/>
    <sheet name="Cash Flow" sheetId="9"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4" i="9" l="1"/>
  <c r="K7" i="8"/>
  <c r="L7" i="8"/>
  <c r="J7" i="8"/>
  <c r="K6" i="8"/>
  <c r="L6" i="8"/>
  <c r="J6" i="8"/>
  <c r="K5" i="8"/>
  <c r="L5" i="8"/>
  <c r="J5" i="8"/>
  <c r="B17" i="8"/>
  <c r="F70" i="9"/>
  <c r="C70" i="9"/>
  <c r="D70" i="9"/>
  <c r="E70" i="9"/>
  <c r="G70" i="9"/>
  <c r="H70" i="9"/>
  <c r="I70" i="9"/>
  <c r="J70" i="9"/>
  <c r="K70" i="9"/>
  <c r="L70" i="9"/>
  <c r="M70" i="9"/>
  <c r="B70" i="9"/>
  <c r="B69" i="9"/>
  <c r="D16" i="8"/>
  <c r="L5" i="5"/>
  <c r="C35" i="9"/>
  <c r="D35" i="9"/>
  <c r="E35" i="9"/>
  <c r="F35" i="9"/>
  <c r="G35" i="9"/>
  <c r="H35" i="9"/>
  <c r="I35" i="9"/>
  <c r="J35" i="9"/>
  <c r="K35" i="9"/>
  <c r="L35" i="9"/>
  <c r="M35" i="9"/>
  <c r="B35" i="9"/>
  <c r="M21" i="7"/>
  <c r="N21" i="7"/>
  <c r="L21" i="7"/>
  <c r="J30" i="9"/>
  <c r="F30" i="9"/>
  <c r="B23" i="9"/>
  <c r="D22" i="9"/>
  <c r="B22" i="9"/>
  <c r="J13" i="9"/>
  <c r="L13" i="9" s="1"/>
  <c r="F13" i="9"/>
  <c r="H13" i="9" s="1"/>
  <c r="C13" i="9"/>
  <c r="D13" i="9" s="1"/>
  <c r="E13" i="9" s="1"/>
  <c r="B13" i="9"/>
  <c r="C9" i="9"/>
  <c r="C20" i="7"/>
  <c r="B20" i="7"/>
  <c r="B10" i="7"/>
  <c r="R6" i="6"/>
  <c r="Q6" i="6"/>
  <c r="P6" i="6"/>
  <c r="R5" i="6"/>
  <c r="Q5" i="6"/>
  <c r="P5" i="6"/>
  <c r="R4" i="6"/>
  <c r="Q4" i="6"/>
  <c r="P4" i="6"/>
  <c r="D10" i="7"/>
  <c r="C10" i="7"/>
  <c r="C7" i="7"/>
  <c r="B7" i="7"/>
  <c r="D4" i="7"/>
  <c r="C4" i="7"/>
  <c r="B4" i="7"/>
  <c r="J4" i="6"/>
  <c r="I4" i="6"/>
  <c r="B30" i="8" s="1"/>
  <c r="H7" i="5"/>
  <c r="H6" i="5"/>
  <c r="H5" i="5"/>
  <c r="C24" i="6"/>
  <c r="D21" i="6"/>
  <c r="C21" i="6"/>
  <c r="B21" i="6"/>
  <c r="D8" i="6"/>
  <c r="B8" i="6"/>
  <c r="D6" i="6"/>
  <c r="C6" i="6"/>
  <c r="B6" i="6"/>
  <c r="D70" i="5"/>
  <c r="C70" i="5"/>
  <c r="B70" i="5"/>
  <c r="B8" i="7"/>
  <c r="C19" i="7"/>
  <c r="K38" i="5"/>
  <c r="K32" i="5"/>
  <c r="J18" i="6"/>
  <c r="I18" i="6"/>
  <c r="B33" i="8" s="1"/>
  <c r="K18" i="6"/>
  <c r="D17" i="7" s="1"/>
  <c r="C33" i="8"/>
  <c r="D9" i="9"/>
  <c r="E9" i="9"/>
  <c r="F9" i="9"/>
  <c r="G9" i="9"/>
  <c r="H9" i="9"/>
  <c r="I9" i="9"/>
  <c r="J9" i="9"/>
  <c r="K9" i="9"/>
  <c r="L9" i="9"/>
  <c r="M9" i="9"/>
  <c r="B9" i="9"/>
  <c r="B10" i="6"/>
  <c r="I9" i="6"/>
  <c r="K10" i="9"/>
  <c r="L10" i="9"/>
  <c r="M10" i="9"/>
  <c r="J10" i="9"/>
  <c r="G10" i="9"/>
  <c r="H10" i="9"/>
  <c r="I10" i="9"/>
  <c r="F10" i="9"/>
  <c r="D10" i="9"/>
  <c r="E10" i="9"/>
  <c r="C10" i="9"/>
  <c r="E26" i="9"/>
  <c r="D26" i="9"/>
  <c r="C26" i="9"/>
  <c r="B25" i="9"/>
  <c r="J21" i="9"/>
  <c r="M21" i="9" s="1"/>
  <c r="F21" i="9"/>
  <c r="B21" i="9"/>
  <c r="E21" i="9" s="1"/>
  <c r="J20" i="9"/>
  <c r="F20" i="9"/>
  <c r="I20" i="9" s="1"/>
  <c r="C18" i="9"/>
  <c r="E18" i="9" s="1"/>
  <c r="J16" i="9"/>
  <c r="K16" i="9" s="1"/>
  <c r="C16" i="9"/>
  <c r="J15" i="9"/>
  <c r="M15" i="9" s="1"/>
  <c r="F15" i="9"/>
  <c r="H15" i="9" s="1"/>
  <c r="C15" i="9"/>
  <c r="K13" i="9"/>
  <c r="G13" i="9"/>
  <c r="B32" i="8"/>
  <c r="D31" i="8"/>
  <c r="C31" i="8"/>
  <c r="B31" i="8"/>
  <c r="D30" i="8"/>
  <c r="C30" i="8"/>
  <c r="B27" i="8"/>
  <c r="D26" i="8"/>
  <c r="B26" i="8"/>
  <c r="D25" i="8"/>
  <c r="C25" i="8"/>
  <c r="B25" i="8"/>
  <c r="D24" i="8"/>
  <c r="C24" i="8"/>
  <c r="B24" i="8"/>
  <c r="C5" i="8"/>
  <c r="F5" i="8" s="1"/>
  <c r="D5" i="8"/>
  <c r="D23" i="8" s="1"/>
  <c r="B5" i="8"/>
  <c r="B23" i="8" s="1"/>
  <c r="C8" i="7"/>
  <c r="K9" i="6"/>
  <c r="J9" i="6"/>
  <c r="B32" i="6"/>
  <c r="D24" i="6"/>
  <c r="B24" i="6"/>
  <c r="D20" i="6"/>
  <c r="C20" i="6"/>
  <c r="B20" i="6"/>
  <c r="D9" i="6"/>
  <c r="C9" i="6"/>
  <c r="B9" i="6"/>
  <c r="B14" i="9" l="1"/>
  <c r="B20" i="9"/>
  <c r="E20" i="9" s="1"/>
  <c r="L4" i="7"/>
  <c r="E23" i="9"/>
  <c r="B17" i="7"/>
  <c r="F23" i="9"/>
  <c r="G23" i="9" s="1"/>
  <c r="D33" i="8"/>
  <c r="J23" i="9"/>
  <c r="C21" i="9"/>
  <c r="D18" i="9"/>
  <c r="B19" i="9" s="1"/>
  <c r="D21" i="9"/>
  <c r="I15" i="9"/>
  <c r="G20" i="9"/>
  <c r="H20" i="9"/>
  <c r="K15" i="9"/>
  <c r="C25" i="9"/>
  <c r="G21" i="9"/>
  <c r="E25" i="9"/>
  <c r="D25" i="9"/>
  <c r="H21" i="9"/>
  <c r="I21" i="9"/>
  <c r="L15" i="9"/>
  <c r="I13" i="9"/>
  <c r="F14" i="9" s="1"/>
  <c r="L16" i="9"/>
  <c r="M16" i="9"/>
  <c r="B17" i="9"/>
  <c r="H23" i="9"/>
  <c r="K21" i="9"/>
  <c r="L20" i="9"/>
  <c r="L21" i="9"/>
  <c r="K23" i="9"/>
  <c r="M13" i="9"/>
  <c r="M20" i="9"/>
  <c r="K20" i="9"/>
  <c r="G15" i="9"/>
  <c r="D23" i="9"/>
  <c r="F25" i="9"/>
  <c r="I25" i="9" s="1"/>
  <c r="C9" i="7"/>
  <c r="H26" i="9" s="1"/>
  <c r="G5" i="8"/>
  <c r="C23" i="8"/>
  <c r="B28" i="8"/>
  <c r="B29" i="8" s="1"/>
  <c r="E5" i="8"/>
  <c r="K31" i="5"/>
  <c r="K30" i="5"/>
  <c r="K29" i="5"/>
  <c r="K28" i="5"/>
  <c r="C14" i="5"/>
  <c r="D14" i="5"/>
  <c r="B14" i="5"/>
  <c r="D13" i="8"/>
  <c r="G13" i="8" s="1"/>
  <c r="C13" i="8"/>
  <c r="F13" i="8" s="1"/>
  <c r="B13" i="8"/>
  <c r="E13" i="8" s="1"/>
  <c r="D12" i="8"/>
  <c r="G12" i="8" s="1"/>
  <c r="C12" i="8"/>
  <c r="F12" i="8" s="1"/>
  <c r="B12" i="8"/>
  <c r="E12" i="8" s="1"/>
  <c r="D9" i="7"/>
  <c r="B19" i="7"/>
  <c r="C43" i="5"/>
  <c r="C44" i="5" s="1"/>
  <c r="D43" i="5"/>
  <c r="D44" i="5" s="1"/>
  <c r="B43" i="5"/>
  <c r="B44" i="5" s="1"/>
  <c r="B41" i="5"/>
  <c r="D41" i="5"/>
  <c r="C41" i="5"/>
  <c r="J7" i="5"/>
  <c r="L7" i="5" s="1"/>
  <c r="J6" i="5"/>
  <c r="L6" i="5" s="1"/>
  <c r="J5" i="5"/>
  <c r="D10" i="8"/>
  <c r="C10" i="8"/>
  <c r="B10" i="8"/>
  <c r="K4" i="6"/>
  <c r="C31" i="6"/>
  <c r="C32" i="6" s="1"/>
  <c r="D31" i="6"/>
  <c r="D32" i="6" s="1"/>
  <c r="B31" i="6"/>
  <c r="C23" i="6"/>
  <c r="D23" i="6"/>
  <c r="B23" i="6"/>
  <c r="D18" i="6"/>
  <c r="C18" i="6"/>
  <c r="B18" i="6"/>
  <c r="C8" i="6"/>
  <c r="C61" i="5"/>
  <c r="B42" i="4"/>
  <c r="B41" i="4"/>
  <c r="B40" i="4"/>
  <c r="B39" i="4"/>
  <c r="C33" i="4"/>
  <c r="C24" i="4"/>
  <c r="D14" i="4"/>
  <c r="C14" i="4"/>
  <c r="E10" i="8" l="1"/>
  <c r="F10" i="8"/>
  <c r="G10" i="8"/>
  <c r="D20" i="9"/>
  <c r="C20" i="9"/>
  <c r="C23" i="9"/>
  <c r="B24" i="9" s="1"/>
  <c r="C26" i="8"/>
  <c r="F16" i="9"/>
  <c r="M23" i="9"/>
  <c r="I23" i="9"/>
  <c r="F24" i="9" s="1"/>
  <c r="L23" i="9"/>
  <c r="I26" i="9"/>
  <c r="H25" i="9"/>
  <c r="G26" i="9"/>
  <c r="F26" i="9"/>
  <c r="G25" i="9"/>
  <c r="D27" i="8"/>
  <c r="D28" i="8" s="1"/>
  <c r="D29" i="8" s="1"/>
  <c r="J18" i="9"/>
  <c r="C27" i="8"/>
  <c r="F18" i="9"/>
  <c r="B27" i="9"/>
  <c r="J17" i="9"/>
  <c r="J14" i="9"/>
  <c r="D7" i="7"/>
  <c r="D8" i="7"/>
  <c r="D19" i="7" s="1"/>
  <c r="C11" i="8"/>
  <c r="F11" i="8" s="1"/>
  <c r="C35" i="8"/>
  <c r="C34" i="8"/>
  <c r="C18" i="7"/>
  <c r="B9" i="7"/>
  <c r="C17" i="7"/>
  <c r="J37" i="5"/>
  <c r="C10" i="6"/>
  <c r="D10" i="6"/>
  <c r="C28" i="8" l="1"/>
  <c r="C29" i="8" s="1"/>
  <c r="G16" i="9"/>
  <c r="I16" i="9"/>
  <c r="H16" i="9"/>
  <c r="J25" i="9"/>
  <c r="F27" i="9"/>
  <c r="J26" i="9"/>
  <c r="L26" i="9"/>
  <c r="M26" i="9"/>
  <c r="K26" i="9"/>
  <c r="M25" i="9"/>
  <c r="L25" i="9"/>
  <c r="K25" i="9"/>
  <c r="K18" i="9"/>
  <c r="M18" i="9"/>
  <c r="L18" i="9"/>
  <c r="I18" i="9"/>
  <c r="G18" i="9"/>
  <c r="H18" i="9"/>
  <c r="D18" i="7"/>
  <c r="D34" i="8"/>
  <c r="D35" i="8"/>
  <c r="D20" i="7"/>
  <c r="D11" i="8"/>
  <c r="B35" i="8"/>
  <c r="B11" i="8"/>
  <c r="B34" i="8"/>
  <c r="B18" i="7"/>
  <c r="N4" i="7"/>
  <c r="N5" i="7" s="1"/>
  <c r="L5" i="7"/>
  <c r="B8" i="8"/>
  <c r="B16" i="7"/>
  <c r="D16" i="7"/>
  <c r="D8" i="8"/>
  <c r="C8" i="8"/>
  <c r="C16" i="7"/>
  <c r="C21" i="7" s="1"/>
  <c r="M4" i="7"/>
  <c r="M5" i="7" s="1"/>
  <c r="K37" i="5"/>
  <c r="G8" i="8" l="1"/>
  <c r="D9" i="8"/>
  <c r="B9" i="8"/>
  <c r="E9" i="8" s="1"/>
  <c r="F8" i="8"/>
  <c r="C9" i="8"/>
  <c r="F9" i="8" s="1"/>
  <c r="E11" i="8"/>
  <c r="G11" i="8"/>
  <c r="F17" i="9"/>
  <c r="B28" i="9"/>
  <c r="B36" i="8"/>
  <c r="J27" i="9"/>
  <c r="J28" i="9"/>
  <c r="D36" i="8"/>
  <c r="J19" i="9"/>
  <c r="C36" i="8"/>
  <c r="F28" i="9"/>
  <c r="F19" i="9"/>
  <c r="D21" i="7"/>
  <c r="N16" i="7" s="1"/>
  <c r="B21" i="7"/>
  <c r="L16" i="7" s="1"/>
  <c r="E8" i="8"/>
  <c r="M17" i="7"/>
  <c r="C38" i="8" s="1"/>
  <c r="M16" i="7"/>
  <c r="G9" i="8"/>
  <c r="D28" i="9" l="1"/>
  <c r="C28" i="9"/>
  <c r="E28" i="9"/>
  <c r="B37" i="8"/>
  <c r="B29" i="9"/>
  <c r="L28" i="9"/>
  <c r="M28" i="9"/>
  <c r="K28" i="9"/>
  <c r="D37" i="8"/>
  <c r="J29" i="9"/>
  <c r="C37" i="8"/>
  <c r="C39" i="8" s="1"/>
  <c r="F29" i="9"/>
  <c r="G28" i="9"/>
  <c r="I28" i="9"/>
  <c r="H28" i="9"/>
  <c r="N17" i="7"/>
  <c r="D38" i="8" s="1"/>
  <c r="L17" i="7"/>
  <c r="M18" i="7"/>
  <c r="C40" i="8" l="1"/>
  <c r="C41" i="8" s="1"/>
  <c r="B38" i="8"/>
  <c r="B39" i="8" s="1"/>
  <c r="B40" i="8" s="1"/>
  <c r="B30" i="9"/>
  <c r="D29" i="9"/>
  <c r="E29" i="9"/>
  <c r="C29" i="9"/>
  <c r="D39" i="8"/>
  <c r="D40" i="8" s="1"/>
  <c r="D41" i="8" s="1"/>
  <c r="K29" i="9"/>
  <c r="M29" i="9"/>
  <c r="L29" i="9"/>
  <c r="I29" i="9"/>
  <c r="G29" i="9"/>
  <c r="H29" i="9"/>
  <c r="C14" i="8"/>
  <c r="F32" i="9"/>
  <c r="F69" i="9" s="1"/>
  <c r="N18" i="7"/>
  <c r="L18" i="7"/>
  <c r="B14" i="8" s="1"/>
  <c r="B15" i="8" s="1"/>
  <c r="B16" i="8" s="1"/>
  <c r="F14" i="8" l="1"/>
  <c r="C15" i="8"/>
  <c r="F15" i="8" s="1"/>
  <c r="B32" i="9"/>
  <c r="D30" i="9"/>
  <c r="D32" i="9" s="1"/>
  <c r="C30" i="9"/>
  <c r="E30" i="9"/>
  <c r="E32" i="9" s="1"/>
  <c r="B41" i="8"/>
  <c r="D14" i="8"/>
  <c r="D15" i="8" s="1"/>
  <c r="F36" i="9"/>
  <c r="F47" i="9" s="1"/>
  <c r="I30" i="9"/>
  <c r="I32" i="9" s="1"/>
  <c r="G30" i="9"/>
  <c r="G32" i="9" s="1"/>
  <c r="G69" i="9" s="1"/>
  <c r="H30" i="9"/>
  <c r="H32" i="9" s="1"/>
  <c r="E14" i="8"/>
  <c r="C16" i="8" l="1"/>
  <c r="C17" i="8" s="1"/>
  <c r="I36" i="9"/>
  <c r="I47" i="9" s="1"/>
  <c r="I69" i="9"/>
  <c r="B33" i="9"/>
  <c r="D36" i="9"/>
  <c r="D47" i="9" s="1"/>
  <c r="D69" i="9"/>
  <c r="B36" i="9"/>
  <c r="B47" i="9" s="1"/>
  <c r="B48" i="9" s="1"/>
  <c r="B71" i="9" s="1"/>
  <c r="E36" i="9"/>
  <c r="E47" i="9" s="1"/>
  <c r="E69" i="9"/>
  <c r="H36" i="9"/>
  <c r="H47" i="9" s="1"/>
  <c r="H69" i="9"/>
  <c r="B31" i="9"/>
  <c r="C32" i="9"/>
  <c r="C69" i="9" s="1"/>
  <c r="K30" i="9"/>
  <c r="K32" i="9" s="1"/>
  <c r="L30" i="9"/>
  <c r="L32" i="9" s="1"/>
  <c r="M30" i="9"/>
  <c r="M32" i="9" s="1"/>
  <c r="J32" i="9"/>
  <c r="J69" i="9" s="1"/>
  <c r="G14" i="8"/>
  <c r="G36" i="9"/>
  <c r="G47" i="9" s="1"/>
  <c r="F33" i="9"/>
  <c r="F31" i="9"/>
  <c r="F17" i="8"/>
  <c r="F16" i="8"/>
  <c r="E15" i="8"/>
  <c r="M36" i="9" l="1"/>
  <c r="M47" i="9" s="1"/>
  <c r="M69" i="9"/>
  <c r="B37" i="9"/>
  <c r="L36" i="9"/>
  <c r="L47" i="9" s="1"/>
  <c r="L69" i="9"/>
  <c r="K36" i="9"/>
  <c r="K47" i="9" s="1"/>
  <c r="K69" i="9"/>
  <c r="C36" i="9"/>
  <c r="J31" i="9"/>
  <c r="J36" i="9"/>
  <c r="J47" i="9" s="1"/>
  <c r="J33" i="9"/>
  <c r="G15" i="8"/>
  <c r="E17" i="8"/>
  <c r="E16" i="8"/>
  <c r="C37" i="9" l="1"/>
  <c r="D37" i="9" s="1"/>
  <c r="E37" i="9" s="1"/>
  <c r="F37" i="9" s="1"/>
  <c r="C47" i="9"/>
  <c r="C48" i="9" s="1"/>
  <c r="D17" i="8"/>
  <c r="G17" i="8" s="1"/>
  <c r="G16" i="8"/>
  <c r="D48" i="9" l="1"/>
  <c r="C71" i="9"/>
  <c r="B38" i="9"/>
  <c r="G37" i="9"/>
  <c r="H37" i="9" s="1"/>
  <c r="I37" i="9" s="1"/>
  <c r="J37" i="9" s="1"/>
  <c r="E48" i="9" l="1"/>
  <c r="D71" i="9"/>
  <c r="F38" i="9"/>
  <c r="K37" i="9"/>
  <c r="L37" i="9" s="1"/>
  <c r="M37" i="9" s="1"/>
  <c r="F48" i="9" l="1"/>
  <c r="E71" i="9"/>
  <c r="J38" i="9"/>
  <c r="G48" i="9" l="1"/>
  <c r="F71" i="9"/>
  <c r="H48" i="9" l="1"/>
  <c r="G71" i="9"/>
  <c r="I48" i="9" l="1"/>
  <c r="H71" i="9"/>
  <c r="J48" i="9" l="1"/>
  <c r="I71" i="9"/>
  <c r="K48" i="9" l="1"/>
  <c r="J71" i="9"/>
  <c r="L48" i="9" l="1"/>
  <c r="K71" i="9"/>
  <c r="M48" i="9" l="1"/>
  <c r="M71" i="9" s="1"/>
  <c r="L71" i="9"/>
</calcChain>
</file>

<file path=xl/sharedStrings.xml><?xml version="1.0" encoding="utf-8"?>
<sst xmlns="http://schemas.openxmlformats.org/spreadsheetml/2006/main" count="558" uniqueCount="425">
  <si>
    <t>u.m</t>
  </si>
  <si>
    <t>Pannelli</t>
  </si>
  <si>
    <t>MW</t>
  </si>
  <si>
    <t>%</t>
  </si>
  <si>
    <t>Feature</t>
  </si>
  <si>
    <t>Juakit</t>
  </si>
  <si>
    <t>d.light IMax 10 Pro</t>
  </si>
  <si>
    <t>Sun King Home 500X</t>
  </si>
  <si>
    <t>Solar panel power</t>
  </si>
  <si>
    <t>800 W (2 × 400 W) – second-life</t>
  </si>
  <si>
    <t>400 W</t>
  </si>
  <si>
    <t>50 W</t>
  </si>
  <si>
    <t>Battery capacity</t>
  </si>
  <si>
    <t>12V, 5.4 kWh (external, lead-acid)</t>
  </si>
  <si>
    <t>960 Wh (LFP)</t>
  </si>
  <si>
    <t>141 Wh (NMC)</t>
  </si>
  <si>
    <t>AC output</t>
  </si>
  <si>
    <t>1,200 W (pure sine wave)</t>
  </si>
  <si>
    <t>500 W (pure sine)</t>
  </si>
  <si>
    <t>—</t>
  </si>
  <si>
    <t>DC output</t>
  </si>
  <si>
    <t>USB, 12V, 24V</t>
  </si>
  <si>
    <t>USB + 12V</t>
  </si>
  <si>
    <t>USB, 12V</t>
  </si>
  <si>
    <t>Retail price in Gulu</t>
  </si>
  <si>
    <t>Target ≤ 3,000,000 UGX (~700–750 €)</t>
  </si>
  <si>
    <t>2,800,000 UGX (~670 €)</t>
  </si>
  <si>
    <t>2,740–3,860,000 UGX</t>
  </si>
  <si>
    <t>Cost per watt (approx.)</t>
  </si>
  <si>
    <t>~0.90–1.00 €/Wp (2nd-life panels)</t>
  </si>
  <si>
    <t>~1.60 €/Wp</t>
  </si>
  <si>
    <t>~8–16 €/Wp</t>
  </si>
  <si>
    <t>Portability</t>
  </si>
  <si>
    <t>Compact suitcase (60×48×22 cm)</t>
  </si>
  <si>
    <t>Large 24 kg box</t>
  </si>
  <si>
    <t>Console + panel</t>
  </si>
  <si>
    <t>Durability / Lifespan</t>
  </si>
  <si>
    <t>8–10 years (with replaceable parts)</t>
  </si>
  <si>
    <t>5 years</t>
  </si>
  <si>
    <t>&lt;3 years</t>
  </si>
  <si>
    <t>Circular design</t>
  </si>
  <si>
    <t>Yes – second-life PV + recyclable</t>
  </si>
  <si>
    <t>No</t>
  </si>
  <si>
    <t>Limited</t>
  </si>
  <si>
    <t>Monitoring</t>
  </si>
  <si>
    <t>App with diagnostics + GPS option</t>
  </si>
  <si>
    <t>Partial app</t>
  </si>
  <si>
    <t>LED indicators</t>
  </si>
  <si>
    <t>Productive use capability</t>
  </si>
  <si>
    <t>Yes: refrigeration, ICT, irrigation</t>
  </si>
  <si>
    <t>Limited (TV, fans, lights)</t>
  </si>
  <si>
    <t>Minimal (lights, charging)</t>
  </si>
  <si>
    <t>Perceived quality</t>
  </si>
  <si>
    <t>High (robust + repairable)</t>
  </si>
  <si>
    <t>Medium-high</t>
  </si>
  <si>
    <t>Medium</t>
  </si>
  <si>
    <t>Feature / Company</t>
  </si>
  <si>
    <t>d.light</t>
  </si>
  <si>
    <t>Sun King</t>
  </si>
  <si>
    <t>Product model</t>
  </si>
  <si>
    <t>Refurbished kit (JuaKit) + PAYG</t>
  </si>
  <si>
    <t>New SHS (TV, lights) + PAYG</t>
  </si>
  <si>
    <t>Modular SHS + PAYG</t>
  </si>
  <si>
    <t>Circular strategy</t>
  </si>
  <si>
    <t>Second-life panels</t>
  </si>
  <si>
    <t>Limited (partial battery reuse)</t>
  </si>
  <si>
    <t>None</t>
  </si>
  <si>
    <t>Target price range considering power offered</t>
  </si>
  <si>
    <t>Low (reuse reduces costs)</t>
  </si>
  <si>
    <t>Target market</t>
  </si>
  <si>
    <t>B2C + B2B (NGOs, schools)</t>
  </si>
  <si>
    <t>B2C (households)</t>
  </si>
  <si>
    <t>B2C + SMEs, schools</t>
  </si>
  <si>
    <t>Deployment model</t>
  </si>
  <si>
    <t>NGO partnerships in Uganda</t>
  </si>
  <si>
    <t>Local agent network</t>
  </si>
  <si>
    <t>Extensive distribution</t>
  </si>
  <si>
    <t>Differentiators</t>
  </si>
  <si>
    <t>Circular economy + high-power 230W panels + local adaptability</t>
  </si>
  <si>
    <t>Mass-market new systems</t>
  </si>
  <si>
    <t>Modularity, scale</t>
  </si>
  <si>
    <t>d.light / Sun King</t>
  </si>
  <si>
    <t>40–400 Wp (depending on model)</t>
  </si>
  <si>
    <t>230–800 Wp (refurbished, e.g. 2×400 W)</t>
  </si>
  <si>
    <t>Battery storage capacity</t>
  </si>
  <si>
    <t>141–960 Wh (sealed LFP/NMC)</t>
  </si>
  <si>
    <t>960 Wh (GEL) up to 5.4 kWh (external LFP, modular and replaceable)</t>
  </si>
  <si>
    <t>Output</t>
  </si>
  <si>
    <t>DC only (USB, LED, small TV)</t>
  </si>
  <si>
    <t>AC + DC (1,200 W pure sine wave, suitable for appliances and tools)</t>
  </si>
  <si>
    <t>Retail price range</t>
  </si>
  <si>
    <t>1.5M–3.8M UGX (≈ $400–950)</t>
  </si>
  <si>
    <t>≤ 3.0M UGX (≈ $720 target)</t>
  </si>
  <si>
    <t>Lifespan</t>
  </si>
  <si>
    <t>2-3 years (average battery/system lifespan)</t>
  </si>
  <si>
    <t>8–10 years (panels + modular battery replacement)</t>
  </si>
  <si>
    <t>None or very limited</t>
  </si>
  <si>
    <t>Full reuse of second-life PV panels + recyclable battery bank</t>
  </si>
  <si>
    <t>Limited or none</t>
  </si>
  <si>
    <t>Integrated mobile app with remote diagnostics and usage tracking</t>
  </si>
  <si>
    <t>Suitability for productive use</t>
  </si>
  <si>
    <t>Low (basic lighting/charging only)</t>
  </si>
  <si>
    <t>High: refrigeration, ICT tools, sewing machines, agricultural equipment</t>
  </si>
  <si>
    <t>Trust / Perceived reliability</t>
  </si>
  <si>
    <t>Medium (low durability, sealed systems)</t>
  </si>
  <si>
    <t>High (robust design, locally repairable, tested by technicians)</t>
  </si>
  <si>
    <t>Business Plan</t>
  </si>
  <si>
    <t>BoM</t>
  </si>
  <si>
    <t>Component</t>
  </si>
  <si>
    <t>Quantity for prototyping</t>
  </si>
  <si>
    <t>Unit price (€)</t>
  </si>
  <si>
    <t>Total (€)</t>
  </si>
  <si>
    <t>Rugged suitcase</t>
  </si>
  <si>
    <t>Solar charge controller (40A)</t>
  </si>
  <si>
    <t>Inverter (500W)</t>
  </si>
  <si>
    <t>12V Battery (for testing)</t>
  </si>
  <si>
    <t>Charger 12V</t>
  </si>
  <si>
    <t>Display (GUI/SOC)</t>
  </si>
  <si>
    <t>220V outlets</t>
  </si>
  <si>
    <t>Connectors and wiring</t>
  </si>
  <si>
    <t>Spare parts and margin for failures</t>
  </si>
  <si>
    <t>Subtotal (hardware)</t>
  </si>
  <si>
    <t>Engineering and validation effort</t>
  </si>
  <si>
    <t>Estimated hours</t>
  </si>
  <si>
    <t>Cost (€ 40/h)</t>
  </si>
  <si>
    <t>Component research and sourcing</t>
  </si>
  <si>
    <t>Bench testing and setup</t>
  </si>
  <si>
    <t>Field testing under real conditions</t>
  </si>
  <si>
    <t>Prototype 3D design and assembly (2 kits)</t>
  </si>
  <si>
    <t>Final validation and documentation</t>
  </si>
  <si>
    <t>Subtotal (labor)</t>
  </si>
  <si>
    <t>Logistics and deployment - Pilot</t>
  </si>
  <si>
    <t>Details</t>
  </si>
  <si>
    <t>Estimated cost (€)</t>
  </si>
  <si>
    <t>Air transport of 1 Juakit unit</t>
  </si>
  <si>
    <t>As additional checked-in luggage (oversize/special baggage fee)</t>
  </si>
  <si>
    <t>Travel &amp; field mission (2 people)</t>
  </si>
  <si>
    <t>Customs, duties and clearance</t>
  </si>
  <si>
    <t>Entry tax estimate based on solar equipment declaration</t>
  </si>
  <si>
    <t>Local installation and logistics</t>
  </si>
  <si>
    <t>On-site delivery, setup support, basic user training</t>
  </si>
  <si>
    <t>Subtotal (logistics and deployment)</t>
  </si>
  <si>
    <t>Includes full field mission and delivery</t>
  </si>
  <si>
    <r>
      <t xml:space="preserve">Flights, local transport, accommodation, meals (10 days, Uganda) </t>
    </r>
    <r>
      <rPr>
        <i/>
        <sz val="11"/>
        <color theme="1"/>
        <rFont val="Aptos Narrow"/>
        <family val="2"/>
        <scheme val="minor"/>
      </rPr>
      <t>(see bando)</t>
    </r>
  </si>
  <si>
    <t>Phases</t>
  </si>
  <si>
    <t xml:space="preserve">Total costs of prototyping </t>
  </si>
  <si>
    <t>Category</t>
  </si>
  <si>
    <t>Per unit cost estimate (€)</t>
  </si>
  <si>
    <t>Components (bill of materials)</t>
  </si>
  <si>
    <t>Labor (design + testing)</t>
  </si>
  <si>
    <t>Logistics &amp; deployment</t>
  </si>
  <si>
    <t>Total per Juakit prototype</t>
  </si>
  <si>
    <t>1000 pannelli</t>
  </si>
  <si>
    <t>120 Juakit</t>
  </si>
  <si>
    <t>Note</t>
  </si>
  <si>
    <t>Tax Category</t>
  </si>
  <si>
    <t>Calculation Basis</t>
  </si>
  <si>
    <t>Rate</t>
  </si>
  <si>
    <t>Amount (€)</t>
  </si>
  <si>
    <t>VAT</t>
  </si>
  <si>
    <t>Withholding Tax</t>
  </si>
  <si>
    <t>Infrastructure Levy</t>
  </si>
  <si>
    <t>1.5%</t>
  </si>
  <si>
    <t>Total Estimated Taxes</t>
  </si>
  <si>
    <t>Import Duty per container</t>
  </si>
  <si>
    <t>una tantum</t>
  </si>
  <si>
    <t>Marketing</t>
  </si>
  <si>
    <t>Totale</t>
  </si>
  <si>
    <t>Full Time (FTE)</t>
  </si>
  <si>
    <t>Costo aziendale annuo (€)</t>
  </si>
  <si>
    <t>Project Manager (PM)</t>
  </si>
  <si>
    <t>1.0</t>
  </si>
  <si>
    <t>Sales / Field Officer</t>
  </si>
  <si>
    <t>50% (0.5 FTE)</t>
  </si>
  <si>
    <t>Accounting and legal fees</t>
  </si>
  <si>
    <t>Overheads</t>
  </si>
  <si>
    <t>Budget marketing (%)</t>
  </si>
  <si>
    <t>Marketing (€)</t>
  </si>
  <si>
    <t>Analisi realistica delle vendite</t>
  </si>
  <si>
    <t>Nota</t>
  </si>
  <si>
    <t>Although only 100 units are expected to be sold in 2026, the first container shipment includes 120 units to fully utilize volumetric capacity and reduce per-unit shipping and customs costs. The remaining 20 units will be stored or allocated to early 2027 sales. All logistics and import duties are thus calculated based on a full container.</t>
  </si>
  <si>
    <t>Unità di pannelli usati</t>
  </si>
  <si>
    <t>Returned goods</t>
  </si>
  <si>
    <t>Project Manager</t>
  </si>
  <si>
    <t>After Sales Expert</t>
  </si>
  <si>
    <t>Sales Manager 1</t>
  </si>
  <si>
    <t>Sales Manager 2</t>
  </si>
  <si>
    <t>\</t>
  </si>
  <si>
    <t>Retail + After Sales service</t>
  </si>
  <si>
    <t>Revenues</t>
  </si>
  <si>
    <t xml:space="preserve">OPEX </t>
  </si>
  <si>
    <t>Accounting e legal fees</t>
  </si>
  <si>
    <t>Overheads e Sundry costs</t>
  </si>
  <si>
    <t xml:space="preserve">Costi </t>
  </si>
  <si>
    <t>Sundry expances (0,5% degli OPEX)</t>
  </si>
  <si>
    <t>Financial Plan</t>
  </si>
  <si>
    <t>Revenue</t>
  </si>
  <si>
    <t>Units sold</t>
  </si>
  <si>
    <t>Variable costs</t>
  </si>
  <si>
    <t>Gross Profit</t>
  </si>
  <si>
    <t>Fixed Costs</t>
  </si>
  <si>
    <t>HR</t>
  </si>
  <si>
    <t>Distribution and Marketing</t>
  </si>
  <si>
    <t>R&amp;D costs</t>
  </si>
  <si>
    <t>R&amp;D</t>
  </si>
  <si>
    <t>Warehouse costs</t>
  </si>
  <si>
    <t>Other costs</t>
  </si>
  <si>
    <t>Total costs</t>
  </si>
  <si>
    <t>EBIT</t>
  </si>
  <si>
    <t>1 unità</t>
  </si>
  <si>
    <t>A batch of 1,000 panels typically requires 50 standard pallets, each containing 20 modules. The estimated cost of warehousing and internal handling (including pallet storage, picking, and relabeling) is around €1,100–1,200 per month. Scaling-up to 2,000 panels the cost of warehousing is about €1,800 based on werahouse rental websites.</t>
  </si>
  <si>
    <t>Reason: It allows you to quickly test each module in full sunlight, returning the I-V curve and allowing you to identify any degradation even in apparently functioning panels, verify the actual maximum power (Pmax) compared to the nominal value and archive the results for technical or customs purposes; the average testing time is about 5 minutes per panel, so 1,000 modules would require about 12 working days with a dedicated technician.</t>
  </si>
  <si>
    <t>Also provides space (9 m³) flexibility for accessories, spare parts, or support materials. It is based on the online costs of transport services. Scaling-up it will be reduced to 5,000 euro in 2027 with 4 containers, 4,000 euro in 2028 with 8 containers</t>
  </si>
  <si>
    <t>1 container con circa 120 Juakit</t>
  </si>
  <si>
    <t>The overland route from the port to Gulu spans an estimated 900 to 1,200 kilometers. Scaling upp it will be reduced to 600 euro in 2027 with 4 containers, 500 euro in 2028 with 8 containers</t>
  </si>
  <si>
    <t>This CIF (Cost, Insurance and Freight) value is derived from an average cost of €400 per kit, including shipping and insurance costs.</t>
  </si>
  <si>
    <t>CIF (€48,000)</t>
  </si>
  <si>
    <t>CIF + Duty (€60,000)</t>
  </si>
  <si>
    <t>Cost of Acquisition</t>
  </si>
  <si>
    <t>Tasse doganali</t>
  </si>
  <si>
    <t>Scale-up tasse doganali</t>
  </si>
  <si>
    <t>Scale-up trasporti</t>
  </si>
  <si>
    <t>Transportation costs are experiencing economies of scale thanks to increasing volumes and the strengthening of partnerships with freight forwarders.</t>
  </si>
  <si>
    <t>Remote monitoring / IoT SIM service</t>
  </si>
  <si>
    <t>Each Juakit unit includes a Ugandan IoT SIM (MTN or Airtel) for remote monitoring, with a yearly cost per kit ranging from €6 to €4.20 depending on volume, reflecting negotiated local M2M rates and economies of scale.</t>
  </si>
  <si>
    <t>Price</t>
  </si>
  <si>
    <t>Financial highlights</t>
  </si>
  <si>
    <t>Materials and component costs</t>
  </si>
  <si>
    <t>Logistic costs</t>
  </si>
  <si>
    <t>Custom duties</t>
  </si>
  <si>
    <t>Total variable costs</t>
  </si>
  <si>
    <t>Warehouse</t>
  </si>
  <si>
    <t>Setup &amp; Validation Costs</t>
  </si>
  <si>
    <t>Salaries</t>
  </si>
  <si>
    <t>Marketing  &amp; Adv</t>
  </si>
  <si>
    <t>Retail &amp; After sales</t>
  </si>
  <si>
    <t>Sundry expenses</t>
  </si>
  <si>
    <t>Total expenses</t>
  </si>
  <si>
    <t>Net Profit</t>
  </si>
  <si>
    <t>Profit and Loss account</t>
  </si>
  <si>
    <t xml:space="preserve">Profit and Loss </t>
  </si>
  <si>
    <t>Net Profit %</t>
  </si>
  <si>
    <t>Cash Flow</t>
  </si>
  <si>
    <t>Q1</t>
  </si>
  <si>
    <t>Q2</t>
  </si>
  <si>
    <t>Q3</t>
  </si>
  <si>
    <t>Q4</t>
  </si>
  <si>
    <t>INFLOWS</t>
  </si>
  <si>
    <t>OUTFLOWS</t>
  </si>
  <si>
    <t>Accounting &amp; legal fees</t>
  </si>
  <si>
    <t>Sundry costs</t>
  </si>
  <si>
    <t>CASH FLOW</t>
  </si>
  <si>
    <t>The estimated retail and after-sales cost is based on real data collected from local shops operating in Gulu, Uganda. According to field insights, physical retailers typically apply a commission between 5%–15% of the product price when acting as PAYGo partners, supporting product handover, customer registration, and basic post-sale assistance. Considering Juakit’s lean distribution model and the limited role expected from retailers (primarily customer support rather than upfront purchase), 10% commission has been adopted for the first years, scaling-up to 8% and 5% the next years. This figure reflects a realistic and efficient cost assumption for field-based distribution without overestimating retailer involvement or margin pressure.</t>
  </si>
  <si>
    <t>Sales targets are aligned with a progressively optimized marketing budget and decreasing Customer Acquisition Cost (CoA), reflecting growing market efficiency, brand awareness, and local partner engagement.</t>
  </si>
  <si>
    <t>With the commercial network developed by KTS it is possible to purchase suitable used panels for around €15.00 each.</t>
  </si>
  <si>
    <t>Assuming a transport capacity of 500 panels per truck and a standard industrial shipping cost of €1.20 per km, the total transport cost for collecting 1,000 panels is estimated at €2,280. NB. We need 200 pannels in 2026, 1000 panels in 2027 and 2000 panels in 2028.</t>
  </si>
  <si>
    <t>Usually it is 55% of the CIF, you could get government exemptions but it is not easy.</t>
  </si>
  <si>
    <t>Although each full container (120 kits) is initially estimated to incur €26,400 in duties and taxes (about 55% of a €48,000 CIF), larger shipment volumes allow for scale efficiencies. With 8 containers shipped in 2028, it becomes possible to reduce insurance costs, negotiate simplified customs treatment (e.g., via NGO partnerships), and submit consolidated documentation effectively lowering the average taxable base per container.</t>
  </si>
  <si>
    <t>In 2026 the PM is full-time and the Sales is part-time, in 2027 they will both be full-time since there is more work to manage, in 2027 a technician will be integrated who deals with after-sales problems part-time.</t>
  </si>
  <si>
    <t>1100 / 1800 euro</t>
  </si>
  <si>
    <t>Overheads cover indirect structural and administrative costs (e.g., utilities, general office expenses). Sundry costs serve as a contingency buffer for minor, unforeseen, or miscellaneous expenses. This approach is based on standard budgeting practices for early-stage ventures and reflects the need for flexibility and operational resilience in the Juakit business model.</t>
  </si>
  <si>
    <t>Non-Dilutive Funding</t>
  </si>
  <si>
    <t>Net operating cash flow</t>
  </si>
  <si>
    <t>Revenue (€)</t>
  </si>
  <si>
    <t>Sales</t>
  </si>
  <si>
    <t>CoA (€ / clients)</t>
  </si>
  <si>
    <t>Production costs</t>
  </si>
  <si>
    <t>Units</t>
  </si>
  <si>
    <t>Hardware cost/unit</t>
  </si>
  <si>
    <t>Total cost</t>
  </si>
  <si>
    <t xml:space="preserve">Used modules purchase </t>
  </si>
  <si>
    <t>Total hardware cost PSS</t>
  </si>
  <si>
    <t>Hardware cost per unit</t>
  </si>
  <si>
    <t>Cost of materials</t>
  </si>
  <si>
    <t>Price per unit</t>
  </si>
  <si>
    <t>Advertising</t>
  </si>
  <si>
    <t>Total</t>
  </si>
  <si>
    <t>Werahouse</t>
  </si>
  <si>
    <t>Test I-V Curve Tracer professional</t>
  </si>
  <si>
    <t>Certification</t>
  </si>
  <si>
    <t>Prototyping</t>
  </si>
  <si>
    <t>Rate of returne</t>
  </si>
  <si>
    <t>% value</t>
  </si>
  <si>
    <t>Absolute value</t>
  </si>
  <si>
    <t>CUMULATIVE CASH FLOW</t>
  </si>
  <si>
    <t>% of total</t>
  </si>
  <si>
    <t>Subtotal</t>
  </si>
  <si>
    <t>Total outflows</t>
  </si>
  <si>
    <t>Annual total outflows</t>
  </si>
  <si>
    <t>Annual total</t>
  </si>
  <si>
    <t>Potential market in Italy</t>
  </si>
  <si>
    <t>Total plant size</t>
  </si>
  <si>
    <t>% of plants undergoing revamping</t>
  </si>
  <si>
    <t>% of market share</t>
  </si>
  <si>
    <t>Total target plant size</t>
  </si>
  <si>
    <t>Target panel quantity</t>
  </si>
  <si>
    <t>Uganda Population (2024)</t>
  </si>
  <si>
    <t>Rural Population</t>
  </si>
  <si>
    <t>Electricity Access Rate (National)</t>
  </si>
  <si>
    <t>Rural Access</t>
  </si>
  <si>
    <t>Off-Grid Population in Uganda</t>
  </si>
  <si>
    <t>Annual Electricity Consumption Per Capita</t>
  </si>
  <si>
    <t>Energy Price per kWh (National Grid)</t>
  </si>
  <si>
    <t>Average Monthly PAYGO Cost for Solar Solutions</t>
  </si>
  <si>
    <t>SHS Market Growth Rate (East Africa)</t>
  </si>
  <si>
    <t>Potential Demand for Stand-Alone Solar Systems</t>
  </si>
  <si>
    <t>Main Uses of Off-Grid Energy</t>
  </si>
  <si>
    <t>Grid Infrastructure Conditions</t>
  </si>
  <si>
    <t>~18% (over 80% of rural households are off-grid)</t>
  </si>
  <si>
    <t>~30 milion</t>
  </si>
  <si>
    <t>~48 milion</t>
  </si>
  <si>
    <t>~75% of population (~36 milion)</t>
  </si>
  <si>
    <t>~100 kWh/year (versus 5,000+ kWh in Europe; source: World Bank 2022)</t>
  </si>
  <si>
    <t>42% (source: IEA, World Bank, 2022)</t>
  </si>
  <si>
    <t>~0.20 USD/kWh (domestic tariff – Umeme)</t>
  </si>
  <si>
    <t>~6 USD/month for entry-level systems (source: GOGLA, d.light, Sun King)</t>
  </si>
  <si>
    <t>+20% annually (2020–2024, driven by PAYGO, modular solutions, and microgrids)</t>
  </si>
  <si>
    <t>Very high: over 6 million off-grid households in Uganda alone</t>
  </si>
  <si>
    <t>Lighting, phone charging, radio, ventilation, solar refrigerators, irrigation, ICT</t>
  </si>
  <si>
    <t>Limited national electricity grid, high extension costs, recurring blackouts even in urban areas</t>
  </si>
  <si>
    <t>Ugandan market</t>
  </si>
  <si>
    <t>Value</t>
  </si>
  <si>
    <t>Italian market</t>
  </si>
  <si>
    <t>Introduction</t>
  </si>
  <si>
    <t>General information on the Italian and Ugandan markets</t>
  </si>
  <si>
    <t>Differentiation with main competitors</t>
  </si>
  <si>
    <t>General comparison with competitors</t>
  </si>
  <si>
    <t>Specific comparison with similar products</t>
  </si>
  <si>
    <t>The analysis was conducted by a field engineer</t>
  </si>
  <si>
    <t>Sales estimate</t>
  </si>
  <si>
    <t>Strategy</t>
  </si>
  <si>
    <t>Pilot phase, testing in Gulu</t>
  </si>
  <si>
    <t>Expansion to 2–3 districts</t>
  </si>
  <si>
    <t>Consolidation and visibility</t>
  </si>
  <si>
    <t>100 units</t>
  </si>
  <si>
    <t>400–500 units</t>
  </si>
  <si>
    <t>800–1.000 units</t>
  </si>
  <si>
    <t>Realistic and prudent</t>
  </si>
  <si>
    <t>Estimate</t>
  </si>
  <si>
    <t>Ambitious but credible</t>
  </si>
  <si>
    <t>Sustainable scalability</t>
  </si>
  <si>
    <t>3% — Pilot phase → greater effort needed to build awareness</t>
  </si>
  <si>
    <t>2% — Consolidated growth, benefiting from word-of-mouth</t>
  </si>
  <si>
    <t>1% — Brand recognition + active sales network</t>
  </si>
  <si>
    <t>Production</t>
  </si>
  <si>
    <t>Procurement, storage, testing and certification costs</t>
  </si>
  <si>
    <t>Quantity</t>
  </si>
  <si>
    <t>Panel procurement costs</t>
  </si>
  <si>
    <t>Warehouse cost to store and test 1000 panels per month</t>
  </si>
  <si>
    <t>Panel Test Cost - Professional I-V Curve Tracer</t>
  </si>
  <si>
    <t>1 warehouse to store up to 2000 panels</t>
  </si>
  <si>
    <t>SIM cost for remote monitoring</t>
  </si>
  <si>
    <t>monthly cost for a subscription</t>
  </si>
  <si>
    <t>Transportation costs</t>
  </si>
  <si>
    <t>Average shipping cost to Turin for 1000 used panels purchased in Italy</t>
  </si>
  <si>
    <t>Transport cost from the port of Genoa to the port of Mombasa (Kenya), for a 20-foot container (internal volume around 33 m³) that can carry 120 Juakit</t>
  </si>
  <si>
    <t>Transportation cost from Mombosa Port to Gulu for a 20-foot container</t>
  </si>
  <si>
    <t>Parameter</t>
  </si>
  <si>
    <t>Kits shipped (for logistics)</t>
  </si>
  <si>
    <t>Shipping costs from Italy to the Turin warehouse</t>
  </si>
  <si>
    <t>Containers used</t>
  </si>
  <si>
    <t>Sea freight/container cost (€)</t>
  </si>
  <si>
    <t>Maritime total (€)</t>
  </si>
  <si>
    <t>Land cost/container (€)</t>
  </si>
  <si>
    <t>Total land (€)</t>
  </si>
  <si>
    <t>Total logistics transport (€)</t>
  </si>
  <si>
    <t>Year</t>
  </si>
  <si>
    <t>N. Container</t>
  </si>
  <si>
    <t>Total estimated taxes</t>
  </si>
  <si>
    <t>Fees per container</t>
  </si>
  <si>
    <t>R&amp;D budget</t>
  </si>
  <si>
    <t>Estimated R&amp;D investment (€)</t>
  </si>
  <si>
    <t>Launch of field testing + feedback collection</t>
  </si>
  <si>
    <t>Component and app optimization</t>
  </si>
  <si>
    <t>Evolutionary prototype / new version</t>
  </si>
  <si>
    <t>Role</t>
  </si>
  <si>
    <t>Personnel costs</t>
  </si>
  <si>
    <t>After-sales technician (part-time)</t>
  </si>
  <si>
    <t>Coordination, relations, strategy</t>
  </si>
  <si>
    <t>Marketing, support, trade shows, demos</t>
  </si>
  <si>
    <t>After-sales support, complaint management</t>
  </si>
  <si>
    <t>Estimate losses from returned goods</t>
  </si>
  <si>
    <t>Unit sales price (€)</t>
  </si>
  <si>
    <t>Estimated rate of return</t>
  </si>
  <si>
    <t>Returned units (estimated)</t>
  </si>
  <si>
    <t>Total non-collection (€)</t>
  </si>
  <si>
    <t>Calculation methods for other costs</t>
  </si>
  <si>
    <t>Adv cost</t>
  </si>
  <si>
    <t>approximately 2% of revenues (decreases over the years)</t>
  </si>
  <si>
    <t>Top-down method</t>
  </si>
  <si>
    <t>Cost of physical store withholdings and after-sales service</t>
  </si>
  <si>
    <t>from 10% of the selling price up to 5%</t>
  </si>
  <si>
    <t>approximately 3% of revenues (decreases over the years)</t>
  </si>
  <si>
    <t>1% of fixed costs + variable costs</t>
  </si>
  <si>
    <t>0.5% of OPEX</t>
  </si>
  <si>
    <t>Transportation costs + Customs fees</t>
  </si>
  <si>
    <t>Units transported</t>
  </si>
  <si>
    <t>Containers required</t>
  </si>
  <si>
    <t>Cost of transporting supplies to the Turin warehouse</t>
  </si>
  <si>
    <t>Sea freight / container cost</t>
  </si>
  <si>
    <t>Sea freight cost</t>
  </si>
  <si>
    <t>Land transport cost to Uganda / container</t>
  </si>
  <si>
    <t>Land transport costs in Uganda</t>
  </si>
  <si>
    <t>Total logistics</t>
  </si>
  <si>
    <t>Duties calculated on the CIF Value (48,000 euros) / container</t>
  </si>
  <si>
    <t>Total duties</t>
  </si>
  <si>
    <t>Total transportation costs + customs fees</t>
  </si>
  <si>
    <t>Variable Cost Analysis</t>
  </si>
  <si>
    <t>Fixed Cost Analysis</t>
  </si>
  <si>
    <t>Fixed Costs + Variable Costs</t>
  </si>
  <si>
    <t>TOTAL FC + VC</t>
  </si>
  <si>
    <t>Total VC</t>
  </si>
  <si>
    <t xml:space="preserve">Total FC </t>
  </si>
  <si>
    <t>Advertising, Marketing, and Retail Cost Analysis</t>
  </si>
  <si>
    <t>Advertising, Marketing and Retail + After Sales service costs are considered as a % of revenues</t>
  </si>
  <si>
    <t>Costs</t>
  </si>
  <si>
    <t>Accounting and legal fees are considered as 1% of the sum of fixed costs and variable costs each year.</t>
  </si>
  <si>
    <t>Total FC + VC</t>
  </si>
  <si>
    <t>Overheads and Sundry costs are calculated as 0.5% and 0.3% fixed annual rates on OPEX respectively.</t>
  </si>
  <si>
    <t>Operating costs</t>
  </si>
  <si>
    <t>Recurrent FC</t>
  </si>
  <si>
    <t>Total OPEX</t>
  </si>
  <si>
    <t>Total inflows</t>
  </si>
  <si>
    <t>Cumulative cash flow</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</si>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</sst>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0\ &quot;€&quot;;[Red]\-#,##0\ &quot;€&quot;"/>
    <numFmt numFmtId="44" formatCode="_-* #,##0.00\ &quot;€&quot;_-;\-* #,##0.00\ &quot;€&quot;_-;_-* &quot;-&quot;??\ &quot;€&quot;_-;_-@_-"/>
    <numFmt numFmtId="164" formatCode="#,##0.00\ &quot;€&quot;"/>
    <numFmt numFmtId="165" formatCode="[$€-2]\ #,##0.000;[Red]\-[$€-2]\ #,##0.000"/>
    <numFmt numFmtId="166" formatCode="_-* #,##0.00\ [$€-410]_-;\-* #,##0.00\ [$€-410]_-;_-* &quot;-&quot;??\ [$€-410]_-;_-@_-"/>
    <numFmt numFmtId="167" formatCode="[$€-2]\ #,##0;[Red]\-[$€-2]\ #,##0"/>
  </numFmts>
  <fonts count="14" x14ac:knownFonts="1">
    <font>
      <sz val="11"/>
      <color theme="1"/>
      <name val="Aptos Narrow"/>
      <family val="2"/>
      <scheme val="minor"/>
    </font>
    <font>
      <sz val="11"/>
      <color theme="1"/>
      <name val="Aptos Narrow"/>
      <family val="2"/>
      <scheme val="minor"/>
    </font>
    <font>
      <b/>
      <sz val="11"/>
      <color theme="1"/>
      <name val="Aptos Narrow"/>
      <family val="2"/>
      <scheme val="minor"/>
    </font>
    <font>
      <b/>
      <i/>
      <sz val="11"/>
      <color rgb="FFFFFFFF"/>
      <name val="Aptos Display"/>
      <family val="2"/>
      <scheme val="major"/>
    </font>
    <font>
      <sz val="11"/>
      <color theme="1"/>
      <name val="Aptos Display"/>
      <family val="2"/>
      <scheme val="major"/>
    </font>
    <font>
      <b/>
      <sz val="11"/>
      <color theme="1"/>
      <name val="Aptos Display"/>
      <family val="2"/>
      <scheme val="major"/>
    </font>
    <font>
      <sz val="11"/>
      <color theme="1"/>
      <name val="Calibri"/>
      <family val="2"/>
    </font>
    <font>
      <b/>
      <sz val="11"/>
      <color theme="1"/>
      <name val="Calibri"/>
      <family val="2"/>
    </font>
    <font>
      <b/>
      <sz val="11"/>
      <color rgb="FF000000"/>
      <name val="Calibri"/>
      <family val="2"/>
    </font>
    <font>
      <sz val="11"/>
      <color rgb="FF000000"/>
      <name val="Calibri"/>
      <family val="2"/>
    </font>
    <font>
      <b/>
      <sz val="24"/>
      <color theme="3"/>
      <name val="Aptos Narrow"/>
      <family val="2"/>
      <scheme val="minor"/>
    </font>
    <font>
      <i/>
      <sz val="11"/>
      <color theme="1"/>
      <name val="Aptos Narrow"/>
      <family val="2"/>
      <scheme val="minor"/>
    </font>
    <font>
      <b/>
      <sz val="18"/>
      <color theme="1"/>
      <name val="Aptos Narrow"/>
      <family val="2"/>
      <scheme val="minor"/>
    </font>
    <font>
      <b/>
      <sz val="11"/>
      <color rgb="FFFFFFFF"/>
      <name val="Aptos Display"/>
      <family val="2"/>
      <scheme val="major"/>
    </font>
  </fonts>
  <fills count="23">
    <fill>
      <patternFill patternType="none"/>
    </fill>
    <fill>
      <patternFill patternType="gray125"/>
    </fill>
    <fill>
      <patternFill patternType="solid">
        <fgColor rgb="FF000000"/>
        <bgColor indexed="64"/>
      </patternFill>
    </fill>
    <fill>
      <patternFill patternType="solid">
        <fgColor theme="3" tint="0.749992370372631"/>
        <bgColor indexed="64"/>
      </patternFill>
    </fill>
    <fill>
      <patternFill patternType="solid">
        <fgColor theme="5" tint="0.59999389629810485"/>
        <bgColor indexed="64"/>
      </patternFill>
    </fill>
    <fill>
      <patternFill patternType="solid">
        <fgColor theme="5"/>
        <bgColor indexed="64"/>
      </patternFill>
    </fill>
    <fill>
      <patternFill patternType="solid">
        <fgColor theme="5" tint="0.39997558519241921"/>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0070C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rgb="FF00B0F0"/>
        <bgColor indexed="64"/>
      </patternFill>
    </fill>
    <fill>
      <patternFill patternType="solid">
        <fgColor theme="9"/>
        <bgColor indexed="64"/>
      </patternFill>
    </fill>
    <fill>
      <patternFill patternType="solid">
        <fgColor theme="8" tint="0.39997558519241921"/>
        <bgColor indexed="64"/>
      </patternFill>
    </fill>
  </fills>
  <borders count="43">
    <border>
      <left/>
      <right/>
      <top/>
      <bottom/>
      <diagonal/>
    </border>
    <border>
      <left style="medium">
        <color rgb="FFCCCCCC"/>
      </left>
      <right style="medium">
        <color rgb="FFCCCCCC"/>
      </right>
      <top style="medium">
        <color rgb="FFCCCCCC"/>
      </top>
      <bottom style="medium">
        <color rgb="FFCCCCCC"/>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25">
    <xf numFmtId="0" fontId="0" fillId="0" borderId="0" xfId="0"/>
    <xf numFmtId="0" fontId="3" fillId="2" borderId="1" xfId="0" applyFont="1" applyFill="1" applyBorder="1" applyAlignment="1">
      <alignment horizontal="center" wrapText="1"/>
    </xf>
    <xf numFmtId="0" fontId="4" fillId="0" borderId="0" xfId="0" applyFont="1"/>
    <xf numFmtId="0" fontId="5" fillId="3" borderId="2" xfId="0" applyFont="1" applyFill="1" applyBorder="1" applyAlignment="1">
      <alignment horizontal="center" wrapText="1"/>
    </xf>
    <xf numFmtId="0" fontId="5" fillId="3" borderId="2" xfId="0" applyFont="1" applyFill="1" applyBorder="1" applyAlignment="1">
      <alignment horizontal="center" vertical="center" wrapText="1"/>
    </xf>
    <xf numFmtId="0" fontId="0" fillId="0" borderId="2" xfId="0" applyBorder="1"/>
    <xf numFmtId="0" fontId="5" fillId="0" borderId="2" xfId="0" applyFont="1" applyBorder="1" applyAlignment="1">
      <alignment vertical="center" wrapText="1"/>
    </xf>
    <xf numFmtId="0" fontId="4" fillId="0" borderId="2" xfId="0" applyFont="1" applyBorder="1" applyAlignment="1">
      <alignment vertical="center" wrapText="1"/>
    </xf>
    <xf numFmtId="0" fontId="2" fillId="4" borderId="2" xfId="0" applyFont="1" applyFill="1" applyBorder="1"/>
    <xf numFmtId="0" fontId="2" fillId="0" borderId="2" xfId="0" applyFont="1" applyBorder="1" applyAlignment="1">
      <alignment vertical="center" wrapText="1"/>
    </xf>
    <xf numFmtId="0" fontId="0" fillId="0" borderId="2" xfId="0" applyBorder="1" applyAlignment="1">
      <alignment vertical="center" wrapText="1"/>
    </xf>
    <xf numFmtId="0" fontId="2" fillId="5" borderId="2"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2" xfId="0" applyFont="1" applyFill="1" applyBorder="1" applyAlignment="1">
      <alignment vertical="center" wrapText="1"/>
    </xf>
    <xf numFmtId="0" fontId="8" fillId="7" borderId="2" xfId="0" applyFont="1" applyFill="1" applyBorder="1" applyAlignment="1">
      <alignment vertical="center" wrapText="1"/>
    </xf>
    <xf numFmtId="0" fontId="8" fillId="8" borderId="2" xfId="0" applyFont="1" applyFill="1" applyBorder="1" applyAlignment="1">
      <alignment vertical="center" wrapText="1"/>
    </xf>
    <xf numFmtId="0" fontId="9" fillId="0" borderId="2" xfId="0" applyFont="1" applyBorder="1" applyAlignment="1">
      <alignment horizontal="justify" vertical="center" wrapText="1"/>
    </xf>
    <xf numFmtId="0" fontId="8" fillId="9" borderId="2" xfId="0" applyFont="1" applyFill="1" applyBorder="1" applyAlignment="1">
      <alignment horizontal="justify" vertical="center" wrapText="1"/>
    </xf>
    <xf numFmtId="0" fontId="8" fillId="10" borderId="2" xfId="0" applyFont="1" applyFill="1" applyBorder="1" applyAlignment="1">
      <alignment horizontal="justify" vertical="center" wrapText="1"/>
    </xf>
    <xf numFmtId="0" fontId="9" fillId="0" borderId="2" xfId="0" applyFont="1" applyBorder="1" applyAlignment="1">
      <alignment vertical="center" wrapText="1"/>
    </xf>
    <xf numFmtId="0" fontId="10" fillId="11" borderId="0" xfId="0" applyFont="1" applyFill="1"/>
    <xf numFmtId="164" fontId="0" fillId="0" borderId="2" xfId="0" applyNumberFormat="1" applyBorder="1" applyAlignment="1">
      <alignment vertical="center" wrapText="1"/>
    </xf>
    <xf numFmtId="165" fontId="2" fillId="0" borderId="2" xfId="0" applyNumberFormat="1" applyFont="1" applyBorder="1" applyAlignment="1">
      <alignment vertical="center" wrapText="1"/>
    </xf>
    <xf numFmtId="0" fontId="2" fillId="4" borderId="2" xfId="0" applyFont="1" applyFill="1" applyBorder="1" applyAlignment="1">
      <alignment horizontal="center" vertical="center" wrapText="1"/>
    </xf>
    <xf numFmtId="0" fontId="0" fillId="4" borderId="2" xfId="0" applyFill="1" applyBorder="1" applyAlignment="1">
      <alignment vertical="center" wrapText="1"/>
    </xf>
    <xf numFmtId="0" fontId="2" fillId="4" borderId="2" xfId="0" applyFont="1" applyFill="1" applyBorder="1" applyAlignment="1">
      <alignment vertical="center" wrapText="1"/>
    </xf>
    <xf numFmtId="164" fontId="2" fillId="0" borderId="2" xfId="0" applyNumberFormat="1" applyFont="1" applyBorder="1" applyAlignment="1">
      <alignment vertical="center" wrapText="1"/>
    </xf>
    <xf numFmtId="0" fontId="0" fillId="6" borderId="2" xfId="0" applyFill="1" applyBorder="1" applyAlignment="1">
      <alignment horizontal="center" vertical="center" wrapText="1"/>
    </xf>
    <xf numFmtId="0" fontId="2" fillId="3" borderId="2" xfId="0" applyFont="1" applyFill="1" applyBorder="1" applyAlignment="1">
      <alignment horizontal="center" vertical="center" wrapText="1"/>
    </xf>
    <xf numFmtId="0" fontId="0" fillId="0" borderId="0" xfId="0" applyAlignment="1">
      <alignment horizontal="left" vertical="center" indent="1"/>
    </xf>
    <xf numFmtId="0" fontId="6" fillId="0" borderId="2" xfId="0" applyFont="1" applyBorder="1" applyAlignment="1">
      <alignment horizontal="justify" vertical="center" wrapText="1"/>
    </xf>
    <xf numFmtId="9" fontId="6" fillId="0" borderId="2" xfId="0" applyNumberFormat="1" applyFont="1" applyBorder="1" applyAlignment="1">
      <alignment horizontal="justify" vertical="center" wrapText="1"/>
    </xf>
    <xf numFmtId="0" fontId="6" fillId="0" borderId="2" xfId="0" applyFont="1" applyBorder="1" applyAlignment="1">
      <alignment vertical="center" wrapText="1"/>
    </xf>
    <xf numFmtId="44" fontId="6" fillId="0" borderId="2" xfId="1" applyFont="1" applyBorder="1" applyAlignment="1">
      <alignment horizontal="justify" vertical="center" wrapText="1"/>
    </xf>
    <xf numFmtId="44" fontId="7" fillId="0" borderId="2" xfId="1" applyFont="1" applyBorder="1" applyAlignment="1">
      <alignment horizontal="justify" vertical="center" wrapText="1"/>
    </xf>
    <xf numFmtId="0" fontId="6" fillId="0" borderId="2" xfId="0" applyFont="1" applyBorder="1" applyAlignment="1">
      <alignment horizontal="justify" vertical="center"/>
    </xf>
    <xf numFmtId="0" fontId="0" fillId="0" borderId="2" xfId="0" applyBorder="1" applyAlignment="1">
      <alignment wrapText="1"/>
    </xf>
    <xf numFmtId="0" fontId="7" fillId="4" borderId="2" xfId="0" applyFont="1" applyFill="1" applyBorder="1" applyAlignment="1">
      <alignment horizontal="justify" vertical="center" wrapText="1"/>
    </xf>
    <xf numFmtId="0" fontId="6" fillId="4" borderId="2" xfId="0" applyFont="1" applyFill="1" applyBorder="1" applyAlignment="1">
      <alignment horizontal="justify" vertical="center" wrapText="1"/>
    </xf>
    <xf numFmtId="166" fontId="2" fillId="4" borderId="2" xfId="1" applyNumberFormat="1" applyFont="1" applyFill="1" applyBorder="1"/>
    <xf numFmtId="0" fontId="0" fillId="4" borderId="2" xfId="0" applyFill="1" applyBorder="1" applyAlignment="1">
      <alignment wrapText="1"/>
    </xf>
    <xf numFmtId="44" fontId="0" fillId="0" borderId="2" xfId="1" applyFont="1" applyBorder="1"/>
    <xf numFmtId="0" fontId="6" fillId="0" borderId="2" xfId="0" applyFont="1" applyBorder="1" applyAlignment="1">
      <alignment wrapText="1"/>
    </xf>
    <xf numFmtId="44" fontId="0" fillId="0" borderId="2" xfId="1" applyFont="1" applyFill="1" applyBorder="1"/>
    <xf numFmtId="0" fontId="0" fillId="0" borderId="2" xfId="0" applyBorder="1" applyAlignment="1">
      <alignment horizontal="left" vertical="center" indent="1"/>
    </xf>
    <xf numFmtId="3" fontId="0" fillId="0" borderId="2" xfId="0" applyNumberFormat="1" applyBorder="1" applyAlignment="1">
      <alignment vertical="center" wrapText="1"/>
    </xf>
    <xf numFmtId="44" fontId="0" fillId="0" borderId="2" xfId="1" applyFont="1" applyBorder="1" applyAlignment="1">
      <alignment vertical="center" wrapText="1"/>
    </xf>
    <xf numFmtId="44" fontId="2" fillId="0" borderId="2" xfId="1" applyFont="1" applyBorder="1" applyAlignment="1">
      <alignment vertical="center" wrapText="1"/>
    </xf>
    <xf numFmtId="0" fontId="2" fillId="0" borderId="2" xfId="0" applyFont="1" applyBorder="1"/>
    <xf numFmtId="3" fontId="2" fillId="0" borderId="2" xfId="0" applyNumberFormat="1" applyFont="1" applyBorder="1"/>
    <xf numFmtId="9" fontId="2" fillId="0" borderId="2" xfId="0" applyNumberFormat="1" applyFont="1" applyBorder="1" applyAlignment="1">
      <alignment vertical="center" wrapText="1"/>
    </xf>
    <xf numFmtId="6" fontId="2" fillId="0" borderId="2" xfId="0" applyNumberFormat="1" applyFont="1" applyBorder="1" applyAlignment="1">
      <alignment vertical="center" wrapText="1"/>
    </xf>
    <xf numFmtId="0" fontId="0" fillId="0" borderId="2" xfId="0" applyBorder="1" applyAlignment="1">
      <alignment horizontal="right" vertical="center" wrapText="1"/>
    </xf>
    <xf numFmtId="3" fontId="0" fillId="0" borderId="2" xfId="0" applyNumberFormat="1" applyBorder="1" applyAlignment="1">
      <alignment horizontal="right" vertical="center" wrapText="1"/>
    </xf>
    <xf numFmtId="9" fontId="0" fillId="0" borderId="2" xfId="0" applyNumberFormat="1" applyBorder="1" applyAlignment="1">
      <alignment horizontal="right" vertical="center" wrapText="1"/>
    </xf>
    <xf numFmtId="44" fontId="0" fillId="0" borderId="2" xfId="1" applyFont="1" applyBorder="1" applyAlignment="1">
      <alignment horizontal="right" vertical="center" wrapText="1"/>
    </xf>
    <xf numFmtId="0" fontId="2" fillId="4" borderId="2" xfId="0" applyFont="1" applyFill="1" applyBorder="1" applyAlignment="1">
      <alignment horizontal="center"/>
    </xf>
    <xf numFmtId="0" fontId="2" fillId="4" borderId="2" xfId="0" applyFont="1" applyFill="1" applyBorder="1" applyAlignment="1">
      <alignment horizontal="center" vertical="center"/>
    </xf>
    <xf numFmtId="44" fontId="0" fillId="0" borderId="2" xfId="1" applyFont="1" applyFill="1" applyBorder="1" applyAlignment="1">
      <alignment vertical="center" wrapText="1"/>
    </xf>
    <xf numFmtId="44" fontId="2" fillId="0" borderId="2" xfId="1" applyFont="1" applyFill="1" applyBorder="1" applyAlignment="1">
      <alignment vertical="center" wrapText="1"/>
    </xf>
    <xf numFmtId="0" fontId="0" fillId="0" borderId="2" xfId="1" applyNumberFormat="1" applyFont="1" applyFill="1" applyBorder="1" applyAlignment="1">
      <alignment vertical="center" wrapText="1"/>
    </xf>
    <xf numFmtId="0" fontId="2" fillId="12" borderId="2" xfId="0" applyFont="1" applyFill="1" applyBorder="1"/>
    <xf numFmtId="0" fontId="2" fillId="12" borderId="2" xfId="0" applyFont="1" applyFill="1" applyBorder="1" applyAlignment="1">
      <alignment wrapText="1"/>
    </xf>
    <xf numFmtId="0" fontId="12" fillId="13" borderId="2" xfId="0" applyFont="1" applyFill="1" applyBorder="1"/>
    <xf numFmtId="0" fontId="12" fillId="13" borderId="2" xfId="0" applyFont="1" applyFill="1" applyBorder="1" applyAlignment="1">
      <alignment wrapText="1"/>
    </xf>
    <xf numFmtId="44" fontId="2" fillId="12" borderId="2" xfId="1" applyFont="1" applyFill="1" applyBorder="1" applyAlignment="1">
      <alignment wrapText="1"/>
    </xf>
    <xf numFmtId="44" fontId="2" fillId="12" borderId="2" xfId="1" applyFont="1" applyFill="1" applyBorder="1"/>
    <xf numFmtId="44" fontId="2" fillId="0" borderId="2" xfId="0" applyNumberFormat="1" applyFont="1" applyBorder="1"/>
    <xf numFmtId="44" fontId="2" fillId="0" borderId="2" xfId="1" applyFont="1" applyBorder="1"/>
    <xf numFmtId="9" fontId="0" fillId="0" borderId="2" xfId="2" applyFont="1" applyBorder="1"/>
    <xf numFmtId="0" fontId="0" fillId="0" borderId="0" xfId="0" applyAlignment="1">
      <alignment horizontal="left" vertical="top"/>
    </xf>
    <xf numFmtId="44" fontId="0" fillId="0" borderId="2" xfId="0" applyNumberFormat="1" applyBorder="1"/>
    <xf numFmtId="44" fontId="2" fillId="0" borderId="10" xfId="0" applyNumberFormat="1" applyFont="1" applyBorder="1"/>
    <xf numFmtId="44" fontId="2" fillId="0" borderId="11" xfId="0" applyNumberFormat="1" applyFont="1" applyBorder="1"/>
    <xf numFmtId="44" fontId="2" fillId="0" borderId="13" xfId="0" applyNumberFormat="1" applyFont="1" applyBorder="1"/>
    <xf numFmtId="44" fontId="2" fillId="0" borderId="14" xfId="0" applyNumberFormat="1" applyFont="1" applyBorder="1"/>
    <xf numFmtId="44" fontId="2" fillId="0" borderId="15" xfId="0" applyNumberFormat="1" applyFont="1" applyBorder="1"/>
    <xf numFmtId="44" fontId="2" fillId="0" borderId="16" xfId="0" applyNumberFormat="1" applyFont="1" applyBorder="1"/>
    <xf numFmtId="0" fontId="2" fillId="14" borderId="17" xfId="0" applyFont="1" applyFill="1" applyBorder="1"/>
    <xf numFmtId="0" fontId="2" fillId="14" borderId="18" xfId="0" applyFont="1" applyFill="1" applyBorder="1"/>
    <xf numFmtId="0" fontId="2" fillId="0" borderId="0" xfId="0" applyFont="1"/>
    <xf numFmtId="44" fontId="2" fillId="0" borderId="19" xfId="0" applyNumberFormat="1" applyFont="1" applyBorder="1"/>
    <xf numFmtId="44" fontId="2" fillId="0" borderId="5" xfId="0" applyNumberFormat="1" applyFont="1" applyBorder="1"/>
    <xf numFmtId="44" fontId="2" fillId="0" borderId="20" xfId="0" applyNumberFormat="1" applyFont="1" applyBorder="1"/>
    <xf numFmtId="44" fontId="1" fillId="0" borderId="2" xfId="1" applyFont="1" applyBorder="1"/>
    <xf numFmtId="0" fontId="12" fillId="9" borderId="2" xfId="0" applyFont="1" applyFill="1" applyBorder="1"/>
    <xf numFmtId="0" fontId="2" fillId="10" borderId="2" xfId="0" applyFont="1" applyFill="1" applyBorder="1"/>
    <xf numFmtId="0" fontId="13" fillId="2" borderId="1" xfId="0" applyFont="1" applyFill="1" applyBorder="1" applyAlignment="1">
      <alignment horizontal="left" wrapText="1"/>
    </xf>
    <xf numFmtId="0" fontId="2" fillId="14" borderId="21" xfId="0" applyFont="1" applyFill="1" applyBorder="1"/>
    <xf numFmtId="0" fontId="2" fillId="14" borderId="22" xfId="0" applyFont="1" applyFill="1" applyBorder="1"/>
    <xf numFmtId="0" fontId="2" fillId="14" borderId="23" xfId="0" applyFont="1" applyFill="1" applyBorder="1"/>
    <xf numFmtId="44" fontId="2" fillId="0" borderId="25" xfId="0" applyNumberFormat="1" applyFont="1" applyBorder="1"/>
    <xf numFmtId="44" fontId="2" fillId="0" borderId="26" xfId="0" applyNumberFormat="1" applyFont="1" applyBorder="1"/>
    <xf numFmtId="0" fontId="2" fillId="14" borderId="27" xfId="0" applyFont="1" applyFill="1" applyBorder="1"/>
    <xf numFmtId="0" fontId="2" fillId="12" borderId="2" xfId="1" applyNumberFormat="1" applyFont="1" applyFill="1" applyBorder="1"/>
    <xf numFmtId="167" fontId="0" fillId="0" borderId="2" xfId="0" applyNumberFormat="1" applyBorder="1" applyAlignment="1">
      <alignment vertical="center" wrapText="1"/>
    </xf>
    <xf numFmtId="0" fontId="2" fillId="4" borderId="2" xfId="0" applyFont="1" applyFill="1" applyBorder="1" applyAlignment="1">
      <alignment horizontal="right" vertical="center" wrapText="1"/>
    </xf>
    <xf numFmtId="0" fontId="0" fillId="0" borderId="0" xfId="0" applyAlignment="1">
      <alignment vertical="center" wrapText="1"/>
    </xf>
    <xf numFmtId="44" fontId="0" fillId="0" borderId="0" xfId="1" applyFont="1" applyBorder="1" applyAlignment="1">
      <alignment horizontal="right" vertical="center" wrapText="1"/>
    </xf>
    <xf numFmtId="9" fontId="0" fillId="0" borderId="0" xfId="0" applyNumberFormat="1" applyAlignment="1">
      <alignment horizontal="right" vertical="center" wrapText="1"/>
    </xf>
    <xf numFmtId="3" fontId="0" fillId="0" borderId="0" xfId="0" applyNumberFormat="1" applyAlignment="1">
      <alignment horizontal="right" vertical="center" wrapText="1"/>
    </xf>
    <xf numFmtId="0" fontId="0" fillId="0" borderId="0" xfId="0" applyAlignment="1">
      <alignment horizontal="left" wrapText="1"/>
    </xf>
    <xf numFmtId="0" fontId="12" fillId="4" borderId="2" xfId="0" applyFont="1" applyFill="1" applyBorder="1" applyAlignment="1">
      <alignment wrapText="1"/>
    </xf>
    <xf numFmtId="0" fontId="12" fillId="4" borderId="2" xfId="0" applyFont="1" applyFill="1" applyBorder="1" applyAlignment="1">
      <alignment horizontal="left" vertical="center" wrapText="1"/>
    </xf>
    <xf numFmtId="0" fontId="0" fillId="0" borderId="0" xfId="0" applyAlignment="1">
      <alignment wrapText="1"/>
    </xf>
    <xf numFmtId="44" fontId="0" fillId="0" borderId="0" xfId="1" applyFont="1" applyFill="1" applyBorder="1"/>
    <xf numFmtId="0" fontId="0" fillId="0" borderId="2" xfId="0" applyBorder="1" applyAlignment="1">
      <alignment horizontal="left" vertical="center" wrapText="1" indent="1"/>
    </xf>
    <xf numFmtId="9" fontId="0" fillId="0" borderId="24" xfId="2" applyFont="1" applyBorder="1"/>
    <xf numFmtId="9" fontId="0" fillId="0" borderId="25" xfId="2" applyFont="1" applyBorder="1"/>
    <xf numFmtId="9" fontId="0" fillId="0" borderId="13" xfId="2" applyFont="1" applyBorder="1"/>
    <xf numFmtId="9" fontId="0" fillId="0" borderId="14" xfId="2" applyFont="1" applyBorder="1"/>
    <xf numFmtId="44" fontId="0" fillId="0" borderId="25" xfId="0" applyNumberFormat="1" applyBorder="1"/>
    <xf numFmtId="0" fontId="0" fillId="0" borderId="25" xfId="0" applyBorder="1"/>
    <xf numFmtId="44" fontId="0" fillId="0" borderId="26" xfId="0" applyNumberFormat="1" applyBorder="1"/>
    <xf numFmtId="0" fontId="0" fillId="0" borderId="26" xfId="0" applyBorder="1"/>
    <xf numFmtId="0" fontId="2" fillId="16" borderId="27" xfId="0" applyFont="1" applyFill="1" applyBorder="1"/>
    <xf numFmtId="0" fontId="2" fillId="16" borderId="18" xfId="0" applyFont="1" applyFill="1" applyBorder="1"/>
    <xf numFmtId="0" fontId="2" fillId="16" borderId="28" xfId="0" applyFont="1" applyFill="1" applyBorder="1"/>
    <xf numFmtId="9" fontId="0" fillId="0" borderId="29" xfId="2" applyFont="1" applyBorder="1"/>
    <xf numFmtId="9" fontId="0" fillId="0" borderId="5" xfId="2" applyFont="1" applyBorder="1"/>
    <xf numFmtId="9" fontId="0" fillId="0" borderId="20" xfId="2" applyFont="1" applyBorder="1"/>
    <xf numFmtId="0" fontId="12" fillId="15" borderId="6" xfId="0" applyFont="1" applyFill="1" applyBorder="1"/>
    <xf numFmtId="0" fontId="2" fillId="16" borderId="30" xfId="0" applyFont="1" applyFill="1" applyBorder="1"/>
    <xf numFmtId="0" fontId="2" fillId="16" borderId="8" xfId="0" applyFont="1" applyFill="1" applyBorder="1"/>
    <xf numFmtId="0" fontId="2" fillId="16" borderId="9" xfId="0" applyFont="1" applyFill="1" applyBorder="1"/>
    <xf numFmtId="0" fontId="2" fillId="16" borderId="7" xfId="0" applyFont="1" applyFill="1" applyBorder="1"/>
    <xf numFmtId="9" fontId="2" fillId="0" borderId="12" xfId="2" applyFont="1" applyBorder="1"/>
    <xf numFmtId="9" fontId="2" fillId="0" borderId="13" xfId="2" applyFont="1" applyBorder="1"/>
    <xf numFmtId="9" fontId="2" fillId="0" borderId="14" xfId="2" applyFont="1" applyBorder="1"/>
    <xf numFmtId="9" fontId="2" fillId="0" borderId="24" xfId="2" applyFont="1" applyBorder="1"/>
    <xf numFmtId="9" fontId="2" fillId="0" borderId="2" xfId="2" applyFont="1" applyBorder="1"/>
    <xf numFmtId="9" fontId="2" fillId="0" borderId="25" xfId="2" applyFont="1" applyBorder="1"/>
    <xf numFmtId="0" fontId="0" fillId="16" borderId="27" xfId="0" applyFill="1" applyBorder="1"/>
    <xf numFmtId="9" fontId="0" fillId="0" borderId="16" xfId="2" applyFont="1" applyBorder="1"/>
    <xf numFmtId="0" fontId="12" fillId="17" borderId="6" xfId="0" applyFont="1" applyFill="1" applyBorder="1" applyAlignment="1">
      <alignment wrapText="1"/>
    </xf>
    <xf numFmtId="0" fontId="2" fillId="18" borderId="30" xfId="0" applyFont="1" applyFill="1" applyBorder="1"/>
    <xf numFmtId="0" fontId="2" fillId="18" borderId="8" xfId="0" applyFont="1" applyFill="1" applyBorder="1"/>
    <xf numFmtId="0" fontId="2" fillId="18" borderId="9" xfId="0" applyFont="1" applyFill="1" applyBorder="1"/>
    <xf numFmtId="0" fontId="2" fillId="18" borderId="28" xfId="0" applyFont="1" applyFill="1" applyBorder="1"/>
    <xf numFmtId="0" fontId="0" fillId="18" borderId="27" xfId="0" applyFill="1" applyBorder="1"/>
    <xf numFmtId="0" fontId="2" fillId="18" borderId="27" xfId="0" applyFont="1" applyFill="1" applyBorder="1"/>
    <xf numFmtId="0" fontId="0" fillId="18" borderId="18" xfId="0" applyFill="1" applyBorder="1"/>
    <xf numFmtId="0" fontId="0" fillId="4" borderId="2" xfId="0" applyFill="1" applyBorder="1"/>
    <xf numFmtId="0" fontId="0" fillId="0" borderId="2" xfId="0" applyBorder="1" applyAlignment="1">
      <alignment horizontal="center"/>
    </xf>
    <xf numFmtId="0" fontId="0" fillId="5" borderId="31" xfId="0" applyFill="1" applyBorder="1"/>
    <xf numFmtId="0" fontId="0" fillId="0" borderId="31" xfId="0" applyBorder="1"/>
    <xf numFmtId="0" fontId="0" fillId="0" borderId="31" xfId="0" applyBorder="1" applyAlignment="1">
      <alignment wrapText="1"/>
    </xf>
    <xf numFmtId="0" fontId="2" fillId="0" borderId="31" xfId="0" applyFont="1" applyBorder="1"/>
    <xf numFmtId="0" fontId="2" fillId="0" borderId="31" xfId="0" applyFont="1" applyBorder="1" applyAlignment="1">
      <alignment wrapText="1"/>
    </xf>
    <xf numFmtId="0" fontId="0" fillId="0" borderId="31" xfId="0" applyBorder="1" applyAlignment="1">
      <alignment horizontal="center"/>
    </xf>
    <xf numFmtId="0" fontId="2" fillId="19" borderId="31" xfId="0" applyFont="1" applyFill="1" applyBorder="1"/>
    <xf numFmtId="0" fontId="2" fillId="20" borderId="31" xfId="0" applyFont="1" applyFill="1" applyBorder="1" applyAlignment="1">
      <alignment wrapText="1"/>
    </xf>
    <xf numFmtId="0" fontId="0" fillId="4" borderId="24" xfId="0" applyFill="1" applyBorder="1"/>
    <xf numFmtId="0" fontId="0" fillId="4" borderId="25" xfId="0" applyFill="1" applyBorder="1"/>
    <xf numFmtId="0" fontId="0" fillId="0" borderId="24" xfId="0" applyBorder="1" applyAlignment="1">
      <alignment horizontal="center"/>
    </xf>
    <xf numFmtId="0" fontId="0" fillId="0" borderId="25" xfId="0" applyBorder="1" applyAlignment="1">
      <alignment horizontal="center"/>
    </xf>
    <xf numFmtId="0" fontId="0" fillId="0" borderId="24" xfId="0" applyBorder="1"/>
    <xf numFmtId="44" fontId="0" fillId="0" borderId="24" xfId="1" applyFont="1" applyBorder="1"/>
    <xf numFmtId="44" fontId="0" fillId="0" borderId="25" xfId="1" applyFont="1" applyBorder="1"/>
    <xf numFmtId="44" fontId="0" fillId="0" borderId="24" xfId="0" applyNumberFormat="1" applyBorder="1"/>
    <xf numFmtId="44" fontId="2" fillId="0" borderId="24" xfId="0" applyNumberFormat="1" applyFont="1" applyBorder="1"/>
    <xf numFmtId="0" fontId="0" fillId="4" borderId="33" xfId="0" applyFill="1" applyBorder="1"/>
    <xf numFmtId="0" fontId="0" fillId="4" borderId="10" xfId="0" applyFill="1" applyBorder="1"/>
    <xf numFmtId="0" fontId="0" fillId="4" borderId="11" xfId="0" applyFill="1" applyBorder="1"/>
    <xf numFmtId="44" fontId="0" fillId="0" borderId="12" xfId="0" applyNumberFormat="1" applyBorder="1"/>
    <xf numFmtId="44" fontId="0" fillId="0" borderId="13" xfId="0" applyNumberFormat="1" applyBorder="1"/>
    <xf numFmtId="44" fontId="0" fillId="0" borderId="14" xfId="0" applyNumberFormat="1" applyBorder="1"/>
    <xf numFmtId="0" fontId="2" fillId="21" borderId="2" xfId="0" applyFont="1" applyFill="1" applyBorder="1"/>
    <xf numFmtId="0" fontId="2" fillId="5" borderId="2" xfId="0" applyFont="1" applyFill="1" applyBorder="1"/>
    <xf numFmtId="44" fontId="0" fillId="0" borderId="34" xfId="0" applyNumberFormat="1" applyBorder="1" applyAlignment="1">
      <alignment horizontal="center"/>
    </xf>
    <xf numFmtId="44" fontId="0" fillId="0" borderId="32" xfId="0" applyNumberFormat="1" applyBorder="1" applyAlignment="1">
      <alignment horizontal="center"/>
    </xf>
    <xf numFmtId="44" fontId="0" fillId="0" borderId="2" xfId="0" applyNumberFormat="1" applyBorder="1" applyAlignment="1">
      <alignment horizontal="center"/>
    </xf>
    <xf numFmtId="0" fontId="2" fillId="22" borderId="31" xfId="0" applyFont="1" applyFill="1" applyBorder="1" applyAlignment="1">
      <alignment horizontal="left" wrapText="1"/>
    </xf>
    <xf numFmtId="0" fontId="0" fillId="4" borderId="31" xfId="0" applyFill="1" applyBorder="1"/>
    <xf numFmtId="44" fontId="0" fillId="0" borderId="34" xfId="1" applyFont="1" applyBorder="1"/>
    <xf numFmtId="44" fontId="0" fillId="0" borderId="31" xfId="1" applyFont="1" applyBorder="1"/>
    <xf numFmtId="44" fontId="0" fillId="0" borderId="31" xfId="0" applyNumberFormat="1" applyBorder="1"/>
    <xf numFmtId="44" fontId="2" fillId="0" borderId="31" xfId="0" applyNumberFormat="1" applyFont="1" applyBorder="1"/>
    <xf numFmtId="44" fontId="0" fillId="0" borderId="26" xfId="1" applyFont="1" applyBorder="1"/>
    <xf numFmtId="9" fontId="0" fillId="0" borderId="34" xfId="2" applyFont="1" applyBorder="1"/>
    <xf numFmtId="44" fontId="0" fillId="0" borderId="32" xfId="1" applyFont="1" applyBorder="1"/>
    <xf numFmtId="9" fontId="0" fillId="0" borderId="32" xfId="2" applyFont="1" applyBorder="1"/>
    <xf numFmtId="44" fontId="0" fillId="0" borderId="35" xfId="1" applyFont="1" applyBorder="1"/>
    <xf numFmtId="44" fontId="0" fillId="0" borderId="35" xfId="0" applyNumberFormat="1" applyBorder="1" applyAlignment="1">
      <alignment horizontal="center"/>
    </xf>
    <xf numFmtId="0" fontId="4" fillId="0" borderId="2" xfId="0" quotePrefix="1" applyFont="1" applyBorder="1" applyAlignment="1">
      <alignment vertical="center" wrapText="1"/>
    </xf>
    <xf numFmtId="0" fontId="2" fillId="16" borderId="17" xfId="0" applyFont="1" applyFill="1" applyBorder="1"/>
    <xf numFmtId="44" fontId="2" fillId="0" borderId="41" xfId="0" applyNumberFormat="1" applyFont="1" applyBorder="1"/>
    <xf numFmtId="44" fontId="2" fillId="0" borderId="35" xfId="0" applyNumberFormat="1" applyFont="1" applyBorder="1"/>
    <xf numFmtId="44" fontId="2" fillId="0" borderId="42" xfId="0" applyNumberFormat="1" applyFont="1" applyBorder="1"/>
    <xf numFmtId="0" fontId="0" fillId="0" borderId="4" xfId="0" applyBorder="1" applyAlignment="1">
      <alignment horizontal="center" wrapText="1"/>
    </xf>
    <xf numFmtId="0" fontId="0" fillId="0" borderId="5" xfId="0" applyBorder="1" applyAlignment="1">
      <alignment horizontal="center" wrapText="1"/>
    </xf>
    <xf numFmtId="0" fontId="0" fillId="0" borderId="3" xfId="0" applyBorder="1" applyAlignment="1">
      <alignment horizontal="center" wrapText="1"/>
    </xf>
    <xf numFmtId="0" fontId="0" fillId="0" borderId="2" xfId="0" applyBorder="1" applyAlignment="1">
      <alignment horizontal="left" vertical="top" wrapText="1"/>
    </xf>
    <xf numFmtId="0" fontId="0" fillId="0" borderId="4" xfId="0" applyBorder="1" applyAlignment="1">
      <alignment horizontal="center" vertical="top" wrapText="1"/>
    </xf>
    <xf numFmtId="0" fontId="0" fillId="0" borderId="3" xfId="0" applyBorder="1" applyAlignment="1">
      <alignment horizontal="center" vertical="top" wrapText="1"/>
    </xf>
    <xf numFmtId="0" fontId="0" fillId="0" borderId="5" xfId="0" applyBorder="1" applyAlignment="1">
      <alignment horizontal="center" vertical="top" wrapText="1"/>
    </xf>
    <xf numFmtId="0" fontId="0" fillId="0" borderId="2" xfId="0" applyBorder="1" applyAlignment="1">
      <alignment horizontal="center" wrapText="1"/>
    </xf>
    <xf numFmtId="0" fontId="2" fillId="0" borderId="38" xfId="0" applyFont="1" applyBorder="1" applyAlignment="1">
      <alignment horizontal="center"/>
    </xf>
    <xf numFmtId="0" fontId="2" fillId="0" borderId="39" xfId="0" applyFont="1" applyBorder="1" applyAlignment="1">
      <alignment horizontal="center"/>
    </xf>
    <xf numFmtId="0" fontId="2" fillId="0" borderId="40" xfId="0" applyFont="1" applyBorder="1" applyAlignment="1">
      <alignment horizontal="center"/>
    </xf>
    <xf numFmtId="0" fontId="0" fillId="6" borderId="33" xfId="0" applyFill="1" applyBorder="1" applyAlignment="1">
      <alignment horizontal="center"/>
    </xf>
    <xf numFmtId="0" fontId="0" fillId="6" borderId="10" xfId="0" applyFill="1" applyBorder="1" applyAlignment="1">
      <alignment horizontal="center"/>
    </xf>
    <xf numFmtId="0" fontId="0" fillId="6" borderId="11" xfId="0" applyFill="1" applyBorder="1" applyAlignment="1">
      <alignment horizontal="center"/>
    </xf>
    <xf numFmtId="0" fontId="0" fillId="6" borderId="36" xfId="0" applyFill="1" applyBorder="1" applyAlignment="1">
      <alignment horizontal="center"/>
    </xf>
    <xf numFmtId="44" fontId="2" fillId="0" borderId="24" xfId="0" applyNumberFormat="1" applyFont="1" applyBorder="1" applyAlignment="1">
      <alignment horizontal="center"/>
    </xf>
    <xf numFmtId="0" fontId="2" fillId="0" borderId="2" xfId="0" applyFont="1" applyBorder="1" applyAlignment="1">
      <alignment horizontal="center"/>
    </xf>
    <xf numFmtId="0" fontId="2" fillId="0" borderId="25" xfId="0" applyFont="1" applyBorder="1" applyAlignment="1">
      <alignment horizontal="center"/>
    </xf>
    <xf numFmtId="0" fontId="2" fillId="0" borderId="31" xfId="0" applyFont="1" applyBorder="1" applyAlignment="1">
      <alignment horizontal="center"/>
    </xf>
    <xf numFmtId="44" fontId="2" fillId="0" borderId="2" xfId="0" applyNumberFormat="1" applyFont="1" applyBorder="1" applyAlignment="1">
      <alignment horizontal="center"/>
    </xf>
    <xf numFmtId="44" fontId="2" fillId="0" borderId="25" xfId="0" applyNumberFormat="1" applyFont="1" applyBorder="1" applyAlignment="1">
      <alignment horizontal="center"/>
    </xf>
    <xf numFmtId="0" fontId="0" fillId="0" borderId="34" xfId="0" applyBorder="1" applyAlignment="1">
      <alignment horizontal="center"/>
    </xf>
    <xf numFmtId="0" fontId="0" fillId="0" borderId="32" xfId="0" applyBorder="1" applyAlignment="1">
      <alignment horizontal="center"/>
    </xf>
    <xf numFmtId="0" fontId="0" fillId="0" borderId="35" xfId="0" applyBorder="1" applyAlignment="1">
      <alignment horizontal="center"/>
    </xf>
    <xf numFmtId="44" fontId="2" fillId="0" borderId="31" xfId="0" applyNumberFormat="1" applyFont="1" applyBorder="1" applyAlignment="1">
      <alignment horizontal="center"/>
    </xf>
    <xf numFmtId="44" fontId="0" fillId="0" borderId="12" xfId="0" applyNumberFormat="1"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44" fontId="0" fillId="0" borderId="12" xfId="0" applyNumberFormat="1" applyBorder="1" applyAlignment="1">
      <alignment horizontal="right"/>
    </xf>
    <xf numFmtId="0" fontId="0" fillId="0" borderId="13" xfId="0" applyBorder="1" applyAlignment="1">
      <alignment horizontal="right"/>
    </xf>
    <xf numFmtId="0" fontId="0" fillId="0" borderId="37" xfId="0" applyBorder="1" applyAlignment="1">
      <alignment horizontal="right"/>
    </xf>
    <xf numFmtId="44" fontId="0" fillId="0" borderId="13" xfId="0" applyNumberFormat="1" applyBorder="1" applyAlignment="1">
      <alignment horizontal="center"/>
    </xf>
    <xf numFmtId="44" fontId="0" fillId="0" borderId="14" xfId="0" applyNumberFormat="1" applyBorder="1" applyAlignment="1">
      <alignment horizontal="center"/>
    </xf>
    <xf numFmtId="44" fontId="2" fillId="0" borderId="34" xfId="0" applyNumberFormat="1" applyFont="1" applyBorder="1" applyAlignment="1">
      <alignment horizontal="center"/>
    </xf>
    <xf numFmtId="44" fontId="2" fillId="0" borderId="32" xfId="0" applyNumberFormat="1" applyFont="1" applyBorder="1" applyAlignment="1">
      <alignment horizontal="center"/>
    </xf>
    <xf numFmtId="44" fontId="2" fillId="0" borderId="35" xfId="0" applyNumberFormat="1" applyFont="1" applyBorder="1" applyAlignment="1">
      <alignment horizontal="center"/>
    </xf>
  </cellXfs>
  <cellStyles count="3">
    <cellStyle name="Normale" xfId="0" builtinId="0"/>
    <cellStyle name="Percentuale" xfId="2" builtinId="5"/>
    <cellStyle name="Valuta" xfId="1" builtinId="4"/>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it-IT"/>
              <a:t>EBIT (2026-2028)</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it-IT"/>
        </a:p>
      </c:txPr>
    </c:title>
    <c:autoTitleDeleted val="0"/>
    <c:plotArea>
      <c:layout/>
      <c:barChart>
        <c:barDir val="col"/>
        <c:grouping val="clustered"/>
        <c:varyColors val="0"/>
        <c:ser>
          <c:idx val="0"/>
          <c:order val="0"/>
          <c:tx>
            <c:strRef>
              <c:f>'Financial Plan'!$I$5</c:f>
              <c:strCache>
                <c:ptCount val="1"/>
                <c:pt idx="0">
                  <c:v>Revenues</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numRef>
              <c:f>'Financial Plan'!$J$4:$L$4</c:f>
              <c:numCache>
                <c:formatCode>General</c:formatCode>
                <c:ptCount val="3"/>
                <c:pt idx="0">
                  <c:v>2026</c:v>
                </c:pt>
                <c:pt idx="1">
                  <c:v>2027</c:v>
                </c:pt>
                <c:pt idx="2">
                  <c:v>2028</c:v>
                </c:pt>
              </c:numCache>
            </c:numRef>
          </c:cat>
          <c:val>
            <c:numRef>
              <c:f>'Financial Plan'!$J$5:$L$5</c:f>
              <c:numCache>
                <c:formatCode>_("€"* #,##0.00_);_("€"* \(#,##0.00\);_("€"* "-"??_);_(@_)</c:formatCode>
                <c:ptCount val="3"/>
                <c:pt idx="0">
                  <c:v>80000</c:v>
                </c:pt>
                <c:pt idx="1">
                  <c:v>415000</c:v>
                </c:pt>
                <c:pt idx="2">
                  <c:v>850000</c:v>
                </c:pt>
              </c:numCache>
            </c:numRef>
          </c:val>
          <c:extLst>
            <c:ext xmlns:c16="http://schemas.microsoft.com/office/drawing/2014/chart" uri="{C3380CC4-5D6E-409C-BE32-E72D297353CC}">
              <c16:uniqueId val="{00000000-7ADA-47FA-976D-4203235804AA}"/>
            </c:ext>
          </c:extLst>
        </c:ser>
        <c:ser>
          <c:idx val="1"/>
          <c:order val="1"/>
          <c:tx>
            <c:strRef>
              <c:f>'Financial Plan'!$I$6</c:f>
              <c:strCache>
                <c:ptCount val="1"/>
                <c:pt idx="0">
                  <c:v>Total costs</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invertIfNegative val="0"/>
          <c:cat>
            <c:numRef>
              <c:f>'Financial Plan'!$J$4:$L$4</c:f>
              <c:numCache>
                <c:formatCode>General</c:formatCode>
                <c:ptCount val="3"/>
                <c:pt idx="0">
                  <c:v>2026</c:v>
                </c:pt>
                <c:pt idx="1">
                  <c:v>2027</c:v>
                </c:pt>
                <c:pt idx="2">
                  <c:v>2028</c:v>
                </c:pt>
              </c:numCache>
            </c:numRef>
          </c:cat>
          <c:val>
            <c:numRef>
              <c:f>'Financial Plan'!$J$6:$L$6</c:f>
              <c:numCache>
                <c:formatCode>_("€"* #,##0.00_);_("€"* \(#,##0.00\);_("€"* "-"??_);_(@_)</c:formatCode>
                <c:ptCount val="3"/>
                <c:pt idx="0">
                  <c:v>209506.8</c:v>
                </c:pt>
                <c:pt idx="1">
                  <c:v>475426.45999999996</c:v>
                </c:pt>
                <c:pt idx="2">
                  <c:v>757844.4</c:v>
                </c:pt>
              </c:numCache>
            </c:numRef>
          </c:val>
          <c:extLst>
            <c:ext xmlns:c16="http://schemas.microsoft.com/office/drawing/2014/chart" uri="{C3380CC4-5D6E-409C-BE32-E72D297353CC}">
              <c16:uniqueId val="{00000001-7ADA-47FA-976D-4203235804AA}"/>
            </c:ext>
          </c:extLst>
        </c:ser>
        <c:ser>
          <c:idx val="2"/>
          <c:order val="2"/>
          <c:tx>
            <c:strRef>
              <c:f>'Financial Plan'!$I$7</c:f>
              <c:strCache>
                <c:ptCount val="1"/>
                <c:pt idx="0">
                  <c:v>EBIT</c:v>
                </c:pt>
              </c:strCache>
            </c:strRef>
          </c:tx>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invertIfNegative val="0"/>
          <c:cat>
            <c:numRef>
              <c:f>'Financial Plan'!$J$4:$L$4</c:f>
              <c:numCache>
                <c:formatCode>General</c:formatCode>
                <c:ptCount val="3"/>
                <c:pt idx="0">
                  <c:v>2026</c:v>
                </c:pt>
                <c:pt idx="1">
                  <c:v>2027</c:v>
                </c:pt>
                <c:pt idx="2">
                  <c:v>2028</c:v>
                </c:pt>
              </c:numCache>
            </c:numRef>
          </c:cat>
          <c:val>
            <c:numRef>
              <c:f>'Financial Plan'!$J$7:$L$7</c:f>
              <c:numCache>
                <c:formatCode>_("€"* #,##0.00_);_("€"* \(#,##0.00\);_("€"* "-"??_);_(@_)</c:formatCode>
                <c:ptCount val="3"/>
                <c:pt idx="0">
                  <c:v>-129506.79999999999</c:v>
                </c:pt>
                <c:pt idx="1">
                  <c:v>-60426.459999999963</c:v>
                </c:pt>
                <c:pt idx="2">
                  <c:v>92155.599999999977</c:v>
                </c:pt>
              </c:numCache>
            </c:numRef>
          </c:val>
          <c:extLst>
            <c:ext xmlns:c16="http://schemas.microsoft.com/office/drawing/2014/chart" uri="{C3380CC4-5D6E-409C-BE32-E72D297353CC}">
              <c16:uniqueId val="{00000002-7ADA-47FA-976D-4203235804AA}"/>
            </c:ext>
          </c:extLst>
        </c:ser>
        <c:dLbls>
          <c:showLegendKey val="0"/>
          <c:showVal val="0"/>
          <c:showCatName val="0"/>
          <c:showSerName val="0"/>
          <c:showPercent val="0"/>
          <c:showBubbleSize val="0"/>
        </c:dLbls>
        <c:gapWidth val="100"/>
        <c:overlap val="-24"/>
        <c:axId val="1425865535"/>
        <c:axId val="1425880415"/>
      </c:barChart>
      <c:catAx>
        <c:axId val="1425865535"/>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it-IT"/>
          </a:p>
        </c:txPr>
        <c:crossAx val="1425880415"/>
        <c:crosses val="autoZero"/>
        <c:auto val="1"/>
        <c:lblAlgn val="ctr"/>
        <c:lblOffset val="100"/>
        <c:noMultiLvlLbl val="0"/>
      </c:catAx>
      <c:valAx>
        <c:axId val="1425880415"/>
        <c:scaling>
          <c:orientation val="minMax"/>
        </c:scaling>
        <c:delete val="0"/>
        <c:axPos val="l"/>
        <c:majorGridlines>
          <c:spPr>
            <a:ln w="9525" cap="flat" cmpd="sng" algn="ctr">
              <a:solidFill>
                <a:schemeClr val="tx2">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it-IT"/>
          </a:p>
        </c:txPr>
        <c:crossAx val="142586553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it-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2">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sz="1600" b="1" i="0" u="none" strike="noStrike" cap="all" normalizeH="0" baseline="0">
                <a:effectLst/>
              </a:rPr>
              <a:t>Quarterly vs. Cumulative Cash Flow</a:t>
            </a:r>
          </a:p>
          <a:p>
            <a:pPr>
              <a:defRPr/>
            </a:pPr>
            <a:r>
              <a:rPr lang="en-US" sz="1600" b="1" i="0" u="none" strike="noStrike" cap="all" normalizeH="0" baseline="0">
                <a:effectLst/>
              </a:rPr>
              <a:t>2026 - 2028</a:t>
            </a:r>
            <a:endParaRPr lang="it-IT"/>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it-IT"/>
        </a:p>
      </c:txPr>
    </c:title>
    <c:autoTitleDeleted val="0"/>
    <c:plotArea>
      <c:layout/>
      <c:lineChart>
        <c:grouping val="standard"/>
        <c:varyColors val="0"/>
        <c:ser>
          <c:idx val="0"/>
          <c:order val="0"/>
          <c:tx>
            <c:strRef>
              <c:f>'Cash Flow'!$A$47</c:f>
              <c:strCache>
                <c:ptCount val="1"/>
                <c:pt idx="0">
                  <c:v>CASH FLOW</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cat>
            <c:strRef>
              <c:f>'Cash Flow'!$B$46:$M$46</c:f>
              <c:strCache>
                <c:ptCount val="12"/>
                <c:pt idx="0">
                  <c:v>Q1</c:v>
                </c:pt>
                <c:pt idx="1">
                  <c:v>Q2</c:v>
                </c:pt>
                <c:pt idx="2">
                  <c:v>Q3</c:v>
                </c:pt>
                <c:pt idx="3">
                  <c:v>Q4</c:v>
                </c:pt>
                <c:pt idx="4">
                  <c:v>Q1</c:v>
                </c:pt>
                <c:pt idx="5">
                  <c:v>Q2</c:v>
                </c:pt>
                <c:pt idx="6">
                  <c:v>Q3</c:v>
                </c:pt>
                <c:pt idx="7">
                  <c:v>Q4</c:v>
                </c:pt>
                <c:pt idx="8">
                  <c:v>Q1</c:v>
                </c:pt>
                <c:pt idx="9">
                  <c:v>Q2</c:v>
                </c:pt>
                <c:pt idx="10">
                  <c:v>Q3</c:v>
                </c:pt>
                <c:pt idx="11">
                  <c:v>Q4</c:v>
                </c:pt>
              </c:strCache>
            </c:strRef>
          </c:cat>
          <c:val>
            <c:numRef>
              <c:f>'Cash Flow'!$B$47:$M$47</c:f>
              <c:numCache>
                <c:formatCode>_("€"* #,##0.00_);_("€"* \(#,##0.00\);_("€"* "-"??_);_(@_)</c:formatCode>
                <c:ptCount val="12"/>
                <c:pt idx="0">
                  <c:v>-9951.6999999999971</c:v>
                </c:pt>
                <c:pt idx="1">
                  <c:v>-28418.366666666654</c:v>
                </c:pt>
                <c:pt idx="2">
                  <c:v>6581.6333333333387</c:v>
                </c:pt>
                <c:pt idx="3">
                  <c:v>2281.6333333333387</c:v>
                </c:pt>
                <c:pt idx="4">
                  <c:v>-3218.6149999999907</c:v>
                </c:pt>
                <c:pt idx="5">
                  <c:v>-5446.6149999999907</c:v>
                </c:pt>
                <c:pt idx="6">
                  <c:v>17597.385000000009</c:v>
                </c:pt>
                <c:pt idx="7">
                  <c:v>30641.385000000009</c:v>
                </c:pt>
                <c:pt idx="8">
                  <c:v>25163.899999999994</c:v>
                </c:pt>
                <c:pt idx="9">
                  <c:v>14388.899999999994</c:v>
                </c:pt>
                <c:pt idx="10">
                  <c:v>31688.899999999994</c:v>
                </c:pt>
                <c:pt idx="11">
                  <c:v>70913.899999999994</c:v>
                </c:pt>
              </c:numCache>
            </c:numRef>
          </c:val>
          <c:smooth val="0"/>
          <c:extLst>
            <c:ext xmlns:c16="http://schemas.microsoft.com/office/drawing/2014/chart" uri="{C3380CC4-5D6E-409C-BE32-E72D297353CC}">
              <c16:uniqueId val="{00000000-2D14-42A6-A177-059EAAE84CF4}"/>
            </c:ext>
          </c:extLst>
        </c:ser>
        <c:ser>
          <c:idx val="1"/>
          <c:order val="1"/>
          <c:tx>
            <c:strRef>
              <c:f>'Cash Flow'!$A$48</c:f>
              <c:strCache>
                <c:ptCount val="1"/>
                <c:pt idx="0">
                  <c:v>CUMULATIVE CASH FLOW</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cat>
            <c:strRef>
              <c:f>'Cash Flow'!$B$46:$M$46</c:f>
              <c:strCache>
                <c:ptCount val="12"/>
                <c:pt idx="0">
                  <c:v>Q1</c:v>
                </c:pt>
                <c:pt idx="1">
                  <c:v>Q2</c:v>
                </c:pt>
                <c:pt idx="2">
                  <c:v>Q3</c:v>
                </c:pt>
                <c:pt idx="3">
                  <c:v>Q4</c:v>
                </c:pt>
                <c:pt idx="4">
                  <c:v>Q1</c:v>
                </c:pt>
                <c:pt idx="5">
                  <c:v>Q2</c:v>
                </c:pt>
                <c:pt idx="6">
                  <c:v>Q3</c:v>
                </c:pt>
                <c:pt idx="7">
                  <c:v>Q4</c:v>
                </c:pt>
                <c:pt idx="8">
                  <c:v>Q1</c:v>
                </c:pt>
                <c:pt idx="9">
                  <c:v>Q2</c:v>
                </c:pt>
                <c:pt idx="10">
                  <c:v>Q3</c:v>
                </c:pt>
                <c:pt idx="11">
                  <c:v>Q4</c:v>
                </c:pt>
              </c:strCache>
            </c:strRef>
          </c:cat>
          <c:val>
            <c:numRef>
              <c:f>'Cash Flow'!$B$48:$M$48</c:f>
              <c:numCache>
                <c:formatCode>_("€"* #,##0.00_);_("€"* \(#,##0.00\);_("€"* "-"??_);_(@_)</c:formatCode>
                <c:ptCount val="12"/>
                <c:pt idx="0">
                  <c:v>-9951.6999999999971</c:v>
                </c:pt>
                <c:pt idx="1">
                  <c:v>-38370.066666666651</c:v>
                </c:pt>
                <c:pt idx="2">
                  <c:v>-31788.433333333312</c:v>
                </c:pt>
                <c:pt idx="3">
                  <c:v>-29506.799999999974</c:v>
                </c:pt>
                <c:pt idx="4">
                  <c:v>-32725.414999999964</c:v>
                </c:pt>
                <c:pt idx="5">
                  <c:v>-38172.029999999955</c:v>
                </c:pt>
                <c:pt idx="6">
                  <c:v>-20574.644999999946</c:v>
                </c:pt>
                <c:pt idx="7">
                  <c:v>10066.740000000063</c:v>
                </c:pt>
                <c:pt idx="8">
                  <c:v>35230.640000000058</c:v>
                </c:pt>
                <c:pt idx="9">
                  <c:v>49619.540000000052</c:v>
                </c:pt>
                <c:pt idx="10">
                  <c:v>81308.440000000046</c:v>
                </c:pt>
                <c:pt idx="11">
                  <c:v>152222.34000000003</c:v>
                </c:pt>
              </c:numCache>
            </c:numRef>
          </c:val>
          <c:smooth val="0"/>
          <c:extLst>
            <c:ext xmlns:c16="http://schemas.microsoft.com/office/drawing/2014/chart" uri="{C3380CC4-5D6E-409C-BE32-E72D297353CC}">
              <c16:uniqueId val="{00000001-2D14-42A6-A177-059EAAE84CF4}"/>
            </c:ext>
          </c:extLst>
        </c:ser>
        <c:dLbls>
          <c:showLegendKey val="0"/>
          <c:showVal val="0"/>
          <c:showCatName val="0"/>
          <c:showSerName val="0"/>
          <c:showPercent val="0"/>
          <c:showBubbleSize val="0"/>
        </c:dLbls>
        <c:marker val="1"/>
        <c:smooth val="0"/>
        <c:axId val="12169647"/>
        <c:axId val="12170607"/>
      </c:lineChart>
      <c:catAx>
        <c:axId val="12169647"/>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it-IT"/>
          </a:p>
        </c:txPr>
        <c:crossAx val="12170607"/>
        <c:crosses val="autoZero"/>
        <c:auto val="1"/>
        <c:lblAlgn val="ctr"/>
        <c:lblOffset val="100"/>
        <c:noMultiLvlLbl val="0"/>
      </c:catAx>
      <c:valAx>
        <c:axId val="12170607"/>
        <c:scaling>
          <c:orientation val="minMax"/>
        </c:scaling>
        <c:delete val="0"/>
        <c:axPos val="l"/>
        <c:numFmt formatCode="_(&quot;€&quot;* #,##0.00_);_(&quot;€&quot;* \(#,##0.00\);_(&quot;€&quot;* &quot;-&quot;??_);_(@_)"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2169647"/>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lt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Break Even Point</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it-IT"/>
        </a:p>
      </c:txPr>
    </c:title>
    <c:autoTitleDeleted val="0"/>
    <c:plotArea>
      <c:layout/>
      <c:lineChart>
        <c:grouping val="standard"/>
        <c:varyColors val="0"/>
        <c:ser>
          <c:idx val="0"/>
          <c:order val="0"/>
          <c:tx>
            <c:strRef>
              <c:f>'Cash Flow'!$A$69</c:f>
              <c:strCache>
                <c:ptCount val="1"/>
                <c:pt idx="0">
                  <c:v>Total outflows</c:v>
                </c:pt>
              </c:strCache>
            </c:strRef>
          </c:tx>
          <c:spPr>
            <a:ln w="34925" cap="rnd">
              <a:solidFill>
                <a:schemeClr val="accent1"/>
              </a:solidFill>
              <a:round/>
            </a:ln>
            <a:effectLst>
              <a:outerShdw blurRad="57150" dist="19050" dir="5400000" algn="ctr" rotWithShape="0">
                <a:srgbClr val="000000">
                  <a:alpha val="63000"/>
                </a:srgbClr>
              </a:outerShdw>
            </a:effectLst>
          </c:spPr>
          <c:marker>
            <c:symbol val="none"/>
          </c:marker>
          <c:cat>
            <c:strRef>
              <c:f>'Cash Flow'!$B$68:$M$68</c:f>
              <c:strCache>
                <c:ptCount val="12"/>
                <c:pt idx="0">
                  <c:v>Q1</c:v>
                </c:pt>
                <c:pt idx="1">
                  <c:v>Q2</c:v>
                </c:pt>
                <c:pt idx="2">
                  <c:v>Q3</c:v>
                </c:pt>
                <c:pt idx="3">
                  <c:v>Q4</c:v>
                </c:pt>
                <c:pt idx="4">
                  <c:v>Q1</c:v>
                </c:pt>
                <c:pt idx="5">
                  <c:v>Q2</c:v>
                </c:pt>
                <c:pt idx="6">
                  <c:v>Q3</c:v>
                </c:pt>
                <c:pt idx="7">
                  <c:v>Q4</c:v>
                </c:pt>
                <c:pt idx="8">
                  <c:v>Q1</c:v>
                </c:pt>
                <c:pt idx="9">
                  <c:v>Q2</c:v>
                </c:pt>
                <c:pt idx="10">
                  <c:v>Q3</c:v>
                </c:pt>
                <c:pt idx="11">
                  <c:v>Q4</c:v>
                </c:pt>
              </c:strCache>
            </c:strRef>
          </c:cat>
          <c:val>
            <c:numRef>
              <c:f>'Cash Flow'!$B$69:$M$69</c:f>
              <c:numCache>
                <c:formatCode>_("€"* #,##0.00_);_("€"* \(#,##0.00\);_("€"* "-"??_);_(@_)</c:formatCode>
                <c:ptCount val="12"/>
                <c:pt idx="0">
                  <c:v>59951.7</c:v>
                </c:pt>
                <c:pt idx="1">
                  <c:v>69418.366666666654</c:v>
                </c:pt>
                <c:pt idx="2">
                  <c:v>42418.366666666661</c:v>
                </c:pt>
                <c:pt idx="3">
                  <c:v>37718.366666666661</c:v>
                </c:pt>
                <c:pt idx="4">
                  <c:v>119618.61499999999</c:v>
                </c:pt>
                <c:pt idx="5">
                  <c:v>113446.61499999999</c:v>
                </c:pt>
                <c:pt idx="6">
                  <c:v>123602.61499999999</c:v>
                </c:pt>
                <c:pt idx="7">
                  <c:v>118758.61499999999</c:v>
                </c:pt>
                <c:pt idx="8">
                  <c:v>194836.1</c:v>
                </c:pt>
                <c:pt idx="9">
                  <c:v>181111.1</c:v>
                </c:pt>
                <c:pt idx="10">
                  <c:v>197811.1</c:v>
                </c:pt>
                <c:pt idx="11">
                  <c:v>184086.1</c:v>
                </c:pt>
              </c:numCache>
            </c:numRef>
          </c:val>
          <c:smooth val="0"/>
          <c:extLst>
            <c:ext xmlns:c16="http://schemas.microsoft.com/office/drawing/2014/chart" uri="{C3380CC4-5D6E-409C-BE32-E72D297353CC}">
              <c16:uniqueId val="{00000000-1BDD-43A7-B814-A1A6F72A46CB}"/>
            </c:ext>
          </c:extLst>
        </c:ser>
        <c:ser>
          <c:idx val="1"/>
          <c:order val="1"/>
          <c:tx>
            <c:strRef>
              <c:f>'Cash Flow'!$A$70</c:f>
              <c:strCache>
                <c:ptCount val="1"/>
                <c:pt idx="0">
                  <c:v>Total inflows</c:v>
                </c:pt>
              </c:strCache>
            </c:strRef>
          </c:tx>
          <c:spPr>
            <a:ln w="34925" cap="rnd">
              <a:solidFill>
                <a:schemeClr val="accent2"/>
              </a:solidFill>
              <a:round/>
            </a:ln>
            <a:effectLst>
              <a:outerShdw blurRad="57150" dist="19050" dir="5400000" algn="ctr" rotWithShape="0">
                <a:srgbClr val="000000">
                  <a:alpha val="63000"/>
                </a:srgbClr>
              </a:outerShdw>
            </a:effectLst>
          </c:spPr>
          <c:marker>
            <c:symbol val="none"/>
          </c:marker>
          <c:cat>
            <c:strRef>
              <c:f>'Cash Flow'!$B$68:$M$68</c:f>
              <c:strCache>
                <c:ptCount val="12"/>
                <c:pt idx="0">
                  <c:v>Q1</c:v>
                </c:pt>
                <c:pt idx="1">
                  <c:v>Q2</c:v>
                </c:pt>
                <c:pt idx="2">
                  <c:v>Q3</c:v>
                </c:pt>
                <c:pt idx="3">
                  <c:v>Q4</c:v>
                </c:pt>
                <c:pt idx="4">
                  <c:v>Q1</c:v>
                </c:pt>
                <c:pt idx="5">
                  <c:v>Q2</c:v>
                </c:pt>
                <c:pt idx="6">
                  <c:v>Q3</c:v>
                </c:pt>
                <c:pt idx="7">
                  <c:v>Q4</c:v>
                </c:pt>
                <c:pt idx="8">
                  <c:v>Q1</c:v>
                </c:pt>
                <c:pt idx="9">
                  <c:v>Q2</c:v>
                </c:pt>
                <c:pt idx="10">
                  <c:v>Q3</c:v>
                </c:pt>
                <c:pt idx="11">
                  <c:v>Q4</c:v>
                </c:pt>
              </c:strCache>
            </c:strRef>
          </c:cat>
          <c:val>
            <c:numRef>
              <c:f>'Cash Flow'!$B$70:$M$70</c:f>
              <c:numCache>
                <c:formatCode>_("€"* #,##0.00_);_("€"* \(#,##0.00\);_("€"* "-"??_);_(@_)</c:formatCode>
                <c:ptCount val="12"/>
                <c:pt idx="0">
                  <c:v>50000</c:v>
                </c:pt>
                <c:pt idx="1">
                  <c:v>41000</c:v>
                </c:pt>
                <c:pt idx="2">
                  <c:v>49000</c:v>
                </c:pt>
                <c:pt idx="3">
                  <c:v>40000</c:v>
                </c:pt>
                <c:pt idx="4">
                  <c:v>116400</c:v>
                </c:pt>
                <c:pt idx="5">
                  <c:v>108000</c:v>
                </c:pt>
                <c:pt idx="6">
                  <c:v>141200</c:v>
                </c:pt>
                <c:pt idx="7">
                  <c:v>149400</c:v>
                </c:pt>
                <c:pt idx="8">
                  <c:v>220000</c:v>
                </c:pt>
                <c:pt idx="9">
                  <c:v>195500</c:v>
                </c:pt>
                <c:pt idx="10">
                  <c:v>229500</c:v>
                </c:pt>
                <c:pt idx="11">
                  <c:v>255000</c:v>
                </c:pt>
              </c:numCache>
            </c:numRef>
          </c:val>
          <c:smooth val="0"/>
          <c:extLst>
            <c:ext xmlns:c16="http://schemas.microsoft.com/office/drawing/2014/chart" uri="{C3380CC4-5D6E-409C-BE32-E72D297353CC}">
              <c16:uniqueId val="{00000001-1BDD-43A7-B814-A1A6F72A46CB}"/>
            </c:ext>
          </c:extLst>
        </c:ser>
        <c:ser>
          <c:idx val="2"/>
          <c:order val="2"/>
          <c:tx>
            <c:strRef>
              <c:f>'Cash Flow'!$A$71</c:f>
              <c:strCache>
                <c:ptCount val="1"/>
                <c:pt idx="0">
                  <c:v>Cumulative cash flow</c:v>
                </c:pt>
              </c:strCache>
            </c:strRef>
          </c:tx>
          <c:spPr>
            <a:ln w="34925" cap="rnd">
              <a:solidFill>
                <a:schemeClr val="accent3"/>
              </a:solidFill>
              <a:round/>
            </a:ln>
            <a:effectLst>
              <a:outerShdw blurRad="57150" dist="19050" dir="5400000" algn="ctr" rotWithShape="0">
                <a:srgbClr val="000000">
                  <a:alpha val="63000"/>
                </a:srgbClr>
              </a:outerShdw>
            </a:effectLst>
          </c:spPr>
          <c:marker>
            <c:symbol val="none"/>
          </c:marker>
          <c:cat>
            <c:strRef>
              <c:f>'Cash Flow'!$B$68:$M$68</c:f>
              <c:strCache>
                <c:ptCount val="12"/>
                <c:pt idx="0">
                  <c:v>Q1</c:v>
                </c:pt>
                <c:pt idx="1">
                  <c:v>Q2</c:v>
                </c:pt>
                <c:pt idx="2">
                  <c:v>Q3</c:v>
                </c:pt>
                <c:pt idx="3">
                  <c:v>Q4</c:v>
                </c:pt>
                <c:pt idx="4">
                  <c:v>Q1</c:v>
                </c:pt>
                <c:pt idx="5">
                  <c:v>Q2</c:v>
                </c:pt>
                <c:pt idx="6">
                  <c:v>Q3</c:v>
                </c:pt>
                <c:pt idx="7">
                  <c:v>Q4</c:v>
                </c:pt>
                <c:pt idx="8">
                  <c:v>Q1</c:v>
                </c:pt>
                <c:pt idx="9">
                  <c:v>Q2</c:v>
                </c:pt>
                <c:pt idx="10">
                  <c:v>Q3</c:v>
                </c:pt>
                <c:pt idx="11">
                  <c:v>Q4</c:v>
                </c:pt>
              </c:strCache>
            </c:strRef>
          </c:cat>
          <c:val>
            <c:numRef>
              <c:f>'Cash Flow'!$B$71:$M$71</c:f>
              <c:numCache>
                <c:formatCode>_("€"* #,##0.00_);_("€"* \(#,##0.00\);_("€"* "-"??_);_(@_)</c:formatCode>
                <c:ptCount val="12"/>
                <c:pt idx="0">
                  <c:v>-9951.6999999999971</c:v>
                </c:pt>
                <c:pt idx="1">
                  <c:v>-38370.066666666651</c:v>
                </c:pt>
                <c:pt idx="2">
                  <c:v>-31788.433333333312</c:v>
                </c:pt>
                <c:pt idx="3">
                  <c:v>-29506.799999999974</c:v>
                </c:pt>
                <c:pt idx="4">
                  <c:v>-32725.414999999964</c:v>
                </c:pt>
                <c:pt idx="5">
                  <c:v>-38172.029999999955</c:v>
                </c:pt>
                <c:pt idx="6">
                  <c:v>-20574.644999999946</c:v>
                </c:pt>
                <c:pt idx="7">
                  <c:v>10066.740000000063</c:v>
                </c:pt>
                <c:pt idx="8">
                  <c:v>35230.640000000058</c:v>
                </c:pt>
                <c:pt idx="9">
                  <c:v>49619.540000000052</c:v>
                </c:pt>
                <c:pt idx="10">
                  <c:v>81308.440000000046</c:v>
                </c:pt>
                <c:pt idx="11">
                  <c:v>152222.34000000003</c:v>
                </c:pt>
              </c:numCache>
            </c:numRef>
          </c:val>
          <c:smooth val="0"/>
          <c:extLst>
            <c:ext xmlns:c16="http://schemas.microsoft.com/office/drawing/2014/chart" uri="{C3380CC4-5D6E-409C-BE32-E72D297353CC}">
              <c16:uniqueId val="{00000002-1BDD-43A7-B814-A1A6F72A46CB}"/>
            </c:ext>
          </c:extLst>
        </c:ser>
        <c:dLbls>
          <c:showLegendKey val="0"/>
          <c:showVal val="0"/>
          <c:showCatName val="0"/>
          <c:showSerName val="0"/>
          <c:showPercent val="0"/>
          <c:showBubbleSize val="0"/>
        </c:dLbls>
        <c:smooth val="0"/>
        <c:axId val="1425785855"/>
        <c:axId val="1425769535"/>
      </c:lineChart>
      <c:catAx>
        <c:axId val="1425785855"/>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425769535"/>
        <c:crosses val="autoZero"/>
        <c:auto val="1"/>
        <c:lblAlgn val="ctr"/>
        <c:lblOffset val="100"/>
        <c:noMultiLvlLbl val="0"/>
      </c:catAx>
      <c:valAx>
        <c:axId val="1425769535"/>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42578585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342">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1</xdr:col>
      <xdr:colOff>15240</xdr:colOff>
      <xdr:row>2</xdr:row>
      <xdr:rowOff>22860</xdr:rowOff>
    </xdr:from>
    <xdr:to>
      <xdr:col>9</xdr:col>
      <xdr:colOff>427318</xdr:colOff>
      <xdr:row>10</xdr:row>
      <xdr:rowOff>160159</xdr:rowOff>
    </xdr:to>
    <xdr:pic>
      <xdr:nvPicPr>
        <xdr:cNvPr id="2" name="Immagine 1">
          <a:extLst>
            <a:ext uri="{FF2B5EF4-FFF2-40B4-BE49-F238E27FC236}">
              <a16:creationId xmlns:a16="http://schemas.microsoft.com/office/drawing/2014/main" id="{8E3F239A-5452-E601-2DD5-9A66B460E82F}"/>
            </a:ext>
          </a:extLst>
        </xdr:cNvPr>
        <xdr:cNvPicPr>
          <a:picLocks noChangeAspect="1"/>
        </xdr:cNvPicPr>
      </xdr:nvPicPr>
      <xdr:blipFill>
        <a:blip xmlns:r="http://schemas.openxmlformats.org/officeDocument/2006/relationships" r:embed="rId1"/>
        <a:stretch>
          <a:fillRect/>
        </a:stretch>
      </xdr:blipFill>
      <xdr:spPr>
        <a:xfrm>
          <a:off x="624840" y="388620"/>
          <a:ext cx="6904318" cy="16003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604443</xdr:colOff>
      <xdr:row>2</xdr:row>
      <xdr:rowOff>186777</xdr:rowOff>
    </xdr:from>
    <xdr:to>
      <xdr:col>20</xdr:col>
      <xdr:colOff>317977</xdr:colOff>
      <xdr:row>17</xdr:row>
      <xdr:rowOff>42398</xdr:rowOff>
    </xdr:to>
    <xdr:graphicFrame macro="">
      <xdr:nvGraphicFramePr>
        <xdr:cNvPr id="4" name="Grafico 3">
          <a:extLst>
            <a:ext uri="{FF2B5EF4-FFF2-40B4-BE49-F238E27FC236}">
              <a16:creationId xmlns:a16="http://schemas.microsoft.com/office/drawing/2014/main" id="{8B04DC89-215C-C498-7247-8B2E37472DF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23051</xdr:colOff>
      <xdr:row>27</xdr:row>
      <xdr:rowOff>20595</xdr:rowOff>
    </xdr:from>
    <xdr:to>
      <xdr:col>26</xdr:col>
      <xdr:colOff>319215</xdr:colOff>
      <xdr:row>47</xdr:row>
      <xdr:rowOff>361060</xdr:rowOff>
    </xdr:to>
    <xdr:graphicFrame macro="">
      <xdr:nvGraphicFramePr>
        <xdr:cNvPr id="3" name="Grafico 2">
          <a:extLst>
            <a:ext uri="{FF2B5EF4-FFF2-40B4-BE49-F238E27FC236}">
              <a16:creationId xmlns:a16="http://schemas.microsoft.com/office/drawing/2014/main" id="{2618D0C9-F4FC-F5A0-D14F-9BCE5E5B734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8965</xdr:colOff>
      <xdr:row>48</xdr:row>
      <xdr:rowOff>116541</xdr:rowOff>
    </xdr:from>
    <xdr:to>
      <xdr:col>26</xdr:col>
      <xdr:colOff>331694</xdr:colOff>
      <xdr:row>71</xdr:row>
      <xdr:rowOff>17929</xdr:rowOff>
    </xdr:to>
    <xdr:graphicFrame macro="">
      <xdr:nvGraphicFramePr>
        <xdr:cNvPr id="2" name="Grafico 1">
          <a:extLst>
            <a:ext uri="{FF2B5EF4-FFF2-40B4-BE49-F238E27FC236}">
              <a16:creationId xmlns:a16="http://schemas.microsoft.com/office/drawing/2014/main" id="{C68E21A4-168B-2398-2288-638A98E7905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9E20E-1A8C-49CE-A7F5-C7EC8F0D9180}">
  <dimension ref="B13"/>
  <sheetViews>
    <sheetView workbookViewId="0">
      <selection activeCell="J13" sqref="J13"/>
    </sheetView>
  </sheetViews>
  <sheetFormatPr defaultRowHeight="14.4" x14ac:dyDescent="0.3"/>
  <cols>
    <col min="2" max="2" width="32.44140625" customWidth="1"/>
  </cols>
  <sheetData>
    <row r="13" spans="2:2" ht="31.2" x14ac:dyDescent="0.6">
      <c r="B13" s="20" t="s">
        <v>106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216B1-DF90-4D74-931F-E2A971A7B9AD}">
  <dimension ref="A1:G29"/>
  <sheetViews>
    <sheetView workbookViewId="0">
      <selection activeCell="A3" sqref="A3"/>
    </sheetView>
  </sheetViews>
  <sheetFormatPr defaultRowHeight="14.4" x14ac:dyDescent="0.3"/>
  <cols>
    <col min="1" max="1" width="33" customWidth="1"/>
    <col min="2" max="2" width="13.77734375" customWidth="1"/>
    <col min="3" max="3" width="12.5546875" customWidth="1"/>
    <col min="5" max="5" width="23.109375" customWidth="1"/>
    <col min="6" max="6" width="35" customWidth="1"/>
    <col min="7" max="7" width="56.6640625" customWidth="1"/>
  </cols>
  <sheetData>
    <row r="1" spans="1:7" ht="15" thickBot="1" x14ac:dyDescent="0.35"/>
    <row r="2" spans="1:7" ht="15" thickBot="1" x14ac:dyDescent="0.35">
      <c r="A2" s="1" t="s">
        <v>323</v>
      </c>
      <c r="E2" s="2"/>
      <c r="F2" s="2"/>
      <c r="G2" s="2"/>
    </row>
    <row r="3" spans="1:7" x14ac:dyDescent="0.3">
      <c r="A3" t="s">
        <v>324</v>
      </c>
      <c r="E3" s="2"/>
      <c r="F3" s="2"/>
      <c r="G3" s="2"/>
    </row>
    <row r="4" spans="1:7" x14ac:dyDescent="0.3">
      <c r="E4" s="2"/>
      <c r="F4" s="2"/>
      <c r="G4" s="2"/>
    </row>
    <row r="5" spans="1:7" x14ac:dyDescent="0.3">
      <c r="A5" s="3" t="s">
        <v>322</v>
      </c>
      <c r="B5" s="3" t="s">
        <v>321</v>
      </c>
      <c r="C5" s="3" t="s">
        <v>0</v>
      </c>
      <c r="E5" s="4" t="s">
        <v>320</v>
      </c>
      <c r="F5" s="4" t="s">
        <v>321</v>
      </c>
      <c r="G5" s="2"/>
    </row>
    <row r="6" spans="1:7" ht="28.8" x14ac:dyDescent="0.3">
      <c r="A6" s="5" t="s">
        <v>290</v>
      </c>
      <c r="B6" s="5">
        <v>15000000</v>
      </c>
      <c r="C6" s="5" t="s">
        <v>1</v>
      </c>
      <c r="E6" s="6" t="s">
        <v>296</v>
      </c>
      <c r="F6" s="7" t="s">
        <v>310</v>
      </c>
      <c r="G6" s="2"/>
    </row>
    <row r="7" spans="1:7" x14ac:dyDescent="0.3">
      <c r="A7" s="5" t="s">
        <v>291</v>
      </c>
      <c r="B7" s="5">
        <v>3450</v>
      </c>
      <c r="C7" s="5" t="s">
        <v>2</v>
      </c>
      <c r="E7" s="6" t="s">
        <v>297</v>
      </c>
      <c r="F7" s="7" t="s">
        <v>311</v>
      </c>
      <c r="G7" s="2"/>
    </row>
    <row r="8" spans="1:7" ht="28.8" x14ac:dyDescent="0.3">
      <c r="A8" s="5" t="s">
        <v>292</v>
      </c>
      <c r="B8" s="5">
        <v>40</v>
      </c>
      <c r="C8" s="5" t="s">
        <v>3</v>
      </c>
      <c r="E8" s="6" t="s">
        <v>298</v>
      </c>
      <c r="F8" s="7" t="s">
        <v>313</v>
      </c>
      <c r="G8" s="2"/>
    </row>
    <row r="9" spans="1:7" ht="28.8" x14ac:dyDescent="0.3">
      <c r="A9" s="5" t="s">
        <v>291</v>
      </c>
      <c r="B9" s="5">
        <v>1380</v>
      </c>
      <c r="C9" s="5" t="s">
        <v>2</v>
      </c>
      <c r="E9" s="6" t="s">
        <v>299</v>
      </c>
      <c r="F9" s="7" t="s">
        <v>308</v>
      </c>
      <c r="G9" s="2"/>
    </row>
    <row r="10" spans="1:7" ht="28.8" x14ac:dyDescent="0.3">
      <c r="A10" s="5" t="s">
        <v>293</v>
      </c>
      <c r="B10" s="5">
        <v>0.75</v>
      </c>
      <c r="C10" s="5" t="s">
        <v>3</v>
      </c>
      <c r="E10" s="6" t="s">
        <v>300</v>
      </c>
      <c r="F10" s="7" t="s">
        <v>309</v>
      </c>
      <c r="G10" s="104"/>
    </row>
    <row r="11" spans="1:7" ht="28.8" x14ac:dyDescent="0.3">
      <c r="A11" s="5" t="s">
        <v>294</v>
      </c>
      <c r="B11" s="5">
        <v>10.35</v>
      </c>
      <c r="C11" s="5" t="s">
        <v>2</v>
      </c>
      <c r="E11" s="6" t="s">
        <v>301</v>
      </c>
      <c r="F11" s="7" t="s">
        <v>312</v>
      </c>
      <c r="G11" s="2"/>
    </row>
    <row r="12" spans="1:7" ht="28.8" x14ac:dyDescent="0.3">
      <c r="A12" s="5" t="s">
        <v>295</v>
      </c>
      <c r="B12" s="5">
        <v>45000</v>
      </c>
      <c r="C12" s="5"/>
      <c r="E12" s="6" t="s">
        <v>302</v>
      </c>
      <c r="F12" s="7" t="s">
        <v>314</v>
      </c>
      <c r="G12" s="2"/>
    </row>
    <row r="13" spans="1:7" ht="28.8" x14ac:dyDescent="0.3">
      <c r="E13" s="6" t="s">
        <v>303</v>
      </c>
      <c r="F13" s="7" t="s">
        <v>315</v>
      </c>
      <c r="G13" s="2"/>
    </row>
    <row r="14" spans="1:7" ht="43.2" x14ac:dyDescent="0.3">
      <c r="E14" s="6" t="s">
        <v>304</v>
      </c>
      <c r="F14" s="184" t="s">
        <v>316</v>
      </c>
      <c r="G14" s="2"/>
    </row>
    <row r="15" spans="1:7" ht="43.2" x14ac:dyDescent="0.3">
      <c r="E15" s="6" t="s">
        <v>305</v>
      </c>
      <c r="F15" s="7" t="s">
        <v>317</v>
      </c>
      <c r="G15" s="2"/>
    </row>
    <row r="16" spans="1:7" ht="43.2" x14ac:dyDescent="0.3">
      <c r="E16" s="6" t="s">
        <v>306</v>
      </c>
      <c r="F16" s="7" t="s">
        <v>318</v>
      </c>
      <c r="G16" s="2"/>
    </row>
    <row r="17" spans="5:7" ht="43.2" x14ac:dyDescent="0.3">
      <c r="E17" s="6" t="s">
        <v>307</v>
      </c>
      <c r="F17" s="7" t="s">
        <v>319</v>
      </c>
      <c r="G17" s="2"/>
    </row>
    <row r="18" spans="5:7" x14ac:dyDescent="0.3">
      <c r="E18" s="2"/>
      <c r="F18" s="2"/>
      <c r="G18" s="2"/>
    </row>
    <row r="19" spans="5:7" x14ac:dyDescent="0.3">
      <c r="E19" s="2"/>
      <c r="F19" s="2"/>
      <c r="G19" s="2"/>
    </row>
    <row r="20" spans="5:7" x14ac:dyDescent="0.3">
      <c r="E20" s="2"/>
      <c r="F20" s="2"/>
      <c r="G20" s="2"/>
    </row>
    <row r="21" spans="5:7" x14ac:dyDescent="0.3">
      <c r="E21" s="2"/>
      <c r="F21" s="2"/>
      <c r="G21" s="2"/>
    </row>
    <row r="22" spans="5:7" x14ac:dyDescent="0.3">
      <c r="E22" s="2"/>
      <c r="F22" s="2"/>
      <c r="G22" s="2"/>
    </row>
    <row r="23" spans="5:7" x14ac:dyDescent="0.3">
      <c r="G23" s="2"/>
    </row>
    <row r="24" spans="5:7" x14ac:dyDescent="0.3">
      <c r="G24" s="2"/>
    </row>
    <row r="25" spans="5:7" x14ac:dyDescent="0.3">
      <c r="G25" s="2"/>
    </row>
    <row r="26" spans="5:7" x14ac:dyDescent="0.3">
      <c r="G26" s="2"/>
    </row>
    <row r="27" spans="5:7" x14ac:dyDescent="0.3">
      <c r="G27" s="2"/>
    </row>
    <row r="28" spans="5:7" x14ac:dyDescent="0.3">
      <c r="G28" s="2"/>
    </row>
    <row r="29" spans="5:7" x14ac:dyDescent="0.3">
      <c r="G29" s="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3BC07-9AAE-455D-9E8E-2F4CB691ED8B}">
  <dimension ref="A1:D40"/>
  <sheetViews>
    <sheetView topLeftCell="A25" workbookViewId="0">
      <selection activeCell="A27" sqref="A26:A27"/>
    </sheetView>
  </sheetViews>
  <sheetFormatPr defaultRowHeight="14.4" x14ac:dyDescent="0.3"/>
  <cols>
    <col min="1" max="1" width="21.109375" customWidth="1"/>
    <col min="2" max="2" width="24.5546875" customWidth="1"/>
    <col min="3" max="3" width="34.33203125" customWidth="1"/>
    <col min="4" max="4" width="22.77734375" customWidth="1"/>
  </cols>
  <sheetData>
    <row r="1" spans="1:4" ht="15" thickBot="1" x14ac:dyDescent="0.35"/>
    <row r="2" spans="1:4" ht="29.4" thickBot="1" x14ac:dyDescent="0.35">
      <c r="A2" s="1" t="s">
        <v>325</v>
      </c>
    </row>
    <row r="4" spans="1:4" x14ac:dyDescent="0.3">
      <c r="A4" s="14" t="s">
        <v>56</v>
      </c>
      <c r="B4" s="15" t="s">
        <v>5</v>
      </c>
      <c r="C4" s="15" t="s">
        <v>57</v>
      </c>
      <c r="D4" s="15" t="s">
        <v>58</v>
      </c>
    </row>
    <row r="5" spans="1:4" ht="28.8" x14ac:dyDescent="0.3">
      <c r="A5" s="15" t="s">
        <v>59</v>
      </c>
      <c r="B5" s="19" t="s">
        <v>60</v>
      </c>
      <c r="C5" s="19" t="s">
        <v>61</v>
      </c>
      <c r="D5" s="19" t="s">
        <v>62</v>
      </c>
    </row>
    <row r="6" spans="1:4" ht="28.8" x14ac:dyDescent="0.3">
      <c r="A6" s="15" t="s">
        <v>63</v>
      </c>
      <c r="B6" s="19" t="s">
        <v>64</v>
      </c>
      <c r="C6" s="19" t="s">
        <v>65</v>
      </c>
      <c r="D6" s="19" t="s">
        <v>66</v>
      </c>
    </row>
    <row r="7" spans="1:4" ht="43.2" x14ac:dyDescent="0.3">
      <c r="A7" s="15" t="s">
        <v>67</v>
      </c>
      <c r="B7" s="19" t="s">
        <v>68</v>
      </c>
      <c r="C7" s="19" t="s">
        <v>55</v>
      </c>
      <c r="D7" s="19" t="s">
        <v>54</v>
      </c>
    </row>
    <row r="8" spans="1:4" ht="28.8" x14ac:dyDescent="0.3">
      <c r="A8" s="15" t="s">
        <v>69</v>
      </c>
      <c r="B8" s="19" t="s">
        <v>70</v>
      </c>
      <c r="C8" s="19" t="s">
        <v>71</v>
      </c>
      <c r="D8" s="19" t="s">
        <v>72</v>
      </c>
    </row>
    <row r="9" spans="1:4" ht="28.8" x14ac:dyDescent="0.3">
      <c r="A9" s="15" t="s">
        <v>73</v>
      </c>
      <c r="B9" s="19" t="s">
        <v>74</v>
      </c>
      <c r="C9" s="19" t="s">
        <v>75</v>
      </c>
      <c r="D9" s="19" t="s">
        <v>76</v>
      </c>
    </row>
    <row r="10" spans="1:4" ht="43.2" x14ac:dyDescent="0.3">
      <c r="A10" s="15" t="s">
        <v>77</v>
      </c>
      <c r="B10" s="19" t="s">
        <v>78</v>
      </c>
      <c r="C10" s="19" t="s">
        <v>79</v>
      </c>
      <c r="D10" s="19" t="s">
        <v>80</v>
      </c>
    </row>
    <row r="11" spans="1:4" ht="15" thickBot="1" x14ac:dyDescent="0.35"/>
    <row r="12" spans="1:4" ht="29.4" thickBot="1" x14ac:dyDescent="0.35">
      <c r="A12" s="1" t="s">
        <v>326</v>
      </c>
    </row>
    <row r="14" spans="1:4" x14ac:dyDescent="0.3">
      <c r="A14" s="17" t="s">
        <v>4</v>
      </c>
      <c r="B14" s="18" t="s">
        <v>81</v>
      </c>
      <c r="C14" s="18" t="s">
        <v>5</v>
      </c>
    </row>
    <row r="15" spans="1:4" ht="28.8" x14ac:dyDescent="0.3">
      <c r="A15" s="18" t="s">
        <v>8</v>
      </c>
      <c r="B15" s="16" t="s">
        <v>82</v>
      </c>
      <c r="C15" s="16" t="s">
        <v>83</v>
      </c>
    </row>
    <row r="16" spans="1:4" ht="28.8" x14ac:dyDescent="0.3">
      <c r="A16" s="18" t="s">
        <v>84</v>
      </c>
      <c r="B16" s="16" t="s">
        <v>85</v>
      </c>
      <c r="C16" s="16" t="s">
        <v>86</v>
      </c>
    </row>
    <row r="17" spans="1:4" ht="43.2" x14ac:dyDescent="0.3">
      <c r="A17" s="18" t="s">
        <v>87</v>
      </c>
      <c r="B17" s="16" t="s">
        <v>88</v>
      </c>
      <c r="C17" s="16" t="s">
        <v>89</v>
      </c>
    </row>
    <row r="18" spans="1:4" ht="28.8" x14ac:dyDescent="0.3">
      <c r="A18" s="18" t="s">
        <v>90</v>
      </c>
      <c r="B18" s="16" t="s">
        <v>91</v>
      </c>
      <c r="C18" s="16" t="s">
        <v>92</v>
      </c>
    </row>
    <row r="19" spans="1:4" ht="28.8" x14ac:dyDescent="0.3">
      <c r="A19" s="18" t="s">
        <v>93</v>
      </c>
      <c r="B19" s="16" t="s">
        <v>94</v>
      </c>
      <c r="C19" s="16" t="s">
        <v>95</v>
      </c>
    </row>
    <row r="20" spans="1:4" ht="43.2" x14ac:dyDescent="0.3">
      <c r="A20" s="18" t="s">
        <v>40</v>
      </c>
      <c r="B20" s="16" t="s">
        <v>96</v>
      </c>
      <c r="C20" s="16" t="s">
        <v>97</v>
      </c>
    </row>
    <row r="21" spans="1:4" ht="43.2" x14ac:dyDescent="0.3">
      <c r="A21" s="18" t="s">
        <v>44</v>
      </c>
      <c r="B21" s="16" t="s">
        <v>98</v>
      </c>
      <c r="C21" s="16" t="s">
        <v>99</v>
      </c>
    </row>
    <row r="22" spans="1:4" ht="43.2" x14ac:dyDescent="0.3">
      <c r="A22" s="18" t="s">
        <v>100</v>
      </c>
      <c r="B22" s="16" t="s">
        <v>101</v>
      </c>
      <c r="C22" s="16" t="s">
        <v>102</v>
      </c>
    </row>
    <row r="23" spans="1:4" ht="43.2" x14ac:dyDescent="0.3">
      <c r="A23" s="18" t="s">
        <v>103</v>
      </c>
      <c r="B23" s="16" t="s">
        <v>104</v>
      </c>
      <c r="C23" s="16" t="s">
        <v>105</v>
      </c>
    </row>
    <row r="24" spans="1:4" ht="15" thickBot="1" x14ac:dyDescent="0.35"/>
    <row r="25" spans="1:4" ht="29.4" thickBot="1" x14ac:dyDescent="0.35">
      <c r="A25" s="1" t="s">
        <v>327</v>
      </c>
    </row>
    <row r="26" spans="1:4" x14ac:dyDescent="0.3">
      <c r="A26" t="s">
        <v>328</v>
      </c>
    </row>
    <row r="28" spans="1:4" x14ac:dyDescent="0.3">
      <c r="A28" s="11" t="s">
        <v>4</v>
      </c>
      <c r="B28" s="12" t="s">
        <v>5</v>
      </c>
      <c r="C28" s="12" t="s">
        <v>6</v>
      </c>
      <c r="D28" s="12" t="s">
        <v>7</v>
      </c>
    </row>
    <row r="29" spans="1:4" ht="28.8" x14ac:dyDescent="0.3">
      <c r="A29" s="13" t="s">
        <v>8</v>
      </c>
      <c r="B29" s="10" t="s">
        <v>9</v>
      </c>
      <c r="C29" s="10" t="s">
        <v>10</v>
      </c>
      <c r="D29" s="10" t="s">
        <v>11</v>
      </c>
    </row>
    <row r="30" spans="1:4" ht="28.8" x14ac:dyDescent="0.3">
      <c r="A30" s="13" t="s">
        <v>12</v>
      </c>
      <c r="B30" s="10" t="s">
        <v>13</v>
      </c>
      <c r="C30" s="10" t="s">
        <v>14</v>
      </c>
      <c r="D30" s="10" t="s">
        <v>15</v>
      </c>
    </row>
    <row r="31" spans="1:4" x14ac:dyDescent="0.3">
      <c r="A31" s="13" t="s">
        <v>16</v>
      </c>
      <c r="B31" s="10" t="s">
        <v>17</v>
      </c>
      <c r="C31" s="10" t="s">
        <v>18</v>
      </c>
      <c r="D31" s="10" t="s">
        <v>19</v>
      </c>
    </row>
    <row r="32" spans="1:4" x14ac:dyDescent="0.3">
      <c r="A32" s="13" t="s">
        <v>20</v>
      </c>
      <c r="B32" s="10" t="s">
        <v>21</v>
      </c>
      <c r="C32" s="10" t="s">
        <v>22</v>
      </c>
      <c r="D32" s="10" t="s">
        <v>23</v>
      </c>
    </row>
    <row r="33" spans="1:4" ht="28.8" x14ac:dyDescent="0.3">
      <c r="A33" s="13" t="s">
        <v>24</v>
      </c>
      <c r="B33" s="10" t="s">
        <v>25</v>
      </c>
      <c r="C33" s="10" t="s">
        <v>26</v>
      </c>
      <c r="D33" s="10" t="s">
        <v>27</v>
      </c>
    </row>
    <row r="34" spans="1:4" ht="28.8" x14ac:dyDescent="0.3">
      <c r="A34" s="13" t="s">
        <v>28</v>
      </c>
      <c r="B34" s="10" t="s">
        <v>29</v>
      </c>
      <c r="C34" s="10" t="s">
        <v>30</v>
      </c>
      <c r="D34" s="10" t="s">
        <v>31</v>
      </c>
    </row>
    <row r="35" spans="1:4" ht="28.8" x14ac:dyDescent="0.3">
      <c r="A35" s="13" t="s">
        <v>32</v>
      </c>
      <c r="B35" s="10" t="s">
        <v>33</v>
      </c>
      <c r="C35" s="10" t="s">
        <v>34</v>
      </c>
      <c r="D35" s="10" t="s">
        <v>35</v>
      </c>
    </row>
    <row r="36" spans="1:4" ht="28.8" x14ac:dyDescent="0.3">
      <c r="A36" s="13" t="s">
        <v>36</v>
      </c>
      <c r="B36" s="10" t="s">
        <v>37</v>
      </c>
      <c r="C36" s="10" t="s">
        <v>38</v>
      </c>
      <c r="D36" s="10" t="s">
        <v>39</v>
      </c>
    </row>
    <row r="37" spans="1:4" ht="28.8" x14ac:dyDescent="0.3">
      <c r="A37" s="13" t="s">
        <v>40</v>
      </c>
      <c r="B37" s="10" t="s">
        <v>41</v>
      </c>
      <c r="C37" s="10" t="s">
        <v>42</v>
      </c>
      <c r="D37" s="10" t="s">
        <v>43</v>
      </c>
    </row>
    <row r="38" spans="1:4" ht="28.8" x14ac:dyDescent="0.3">
      <c r="A38" s="13" t="s">
        <v>44</v>
      </c>
      <c r="B38" s="10" t="s">
        <v>45</v>
      </c>
      <c r="C38" s="10" t="s">
        <v>46</v>
      </c>
      <c r="D38" s="10" t="s">
        <v>47</v>
      </c>
    </row>
    <row r="39" spans="1:4" ht="28.8" x14ac:dyDescent="0.3">
      <c r="A39" s="13" t="s">
        <v>48</v>
      </c>
      <c r="B39" s="10" t="s">
        <v>49</v>
      </c>
      <c r="C39" s="10" t="s">
        <v>50</v>
      </c>
      <c r="D39" s="10" t="s">
        <v>51</v>
      </c>
    </row>
    <row r="40" spans="1:4" x14ac:dyDescent="0.3">
      <c r="A40" s="13" t="s">
        <v>52</v>
      </c>
      <c r="B40" s="10" t="s">
        <v>53</v>
      </c>
      <c r="C40" s="10" t="s">
        <v>54</v>
      </c>
      <c r="D40" s="10" t="s">
        <v>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957187-B9B3-4F85-BA25-19460EE5033C}">
  <dimension ref="A1:D42"/>
  <sheetViews>
    <sheetView topLeftCell="A30" workbookViewId="0">
      <selection activeCell="B42" sqref="B42"/>
    </sheetView>
  </sheetViews>
  <sheetFormatPr defaultRowHeight="14.4" x14ac:dyDescent="0.3"/>
  <cols>
    <col min="1" max="1" width="17.21875" customWidth="1"/>
    <col min="2" max="2" width="20.6640625" customWidth="1"/>
    <col min="3" max="3" width="17" customWidth="1"/>
    <col min="4" max="4" width="20.6640625" customWidth="1"/>
  </cols>
  <sheetData>
    <row r="1" spans="1:4" ht="15" thickBot="1" x14ac:dyDescent="0.35"/>
    <row r="2" spans="1:4" ht="15" thickBot="1" x14ac:dyDescent="0.35">
      <c r="A2" s="1" t="s">
        <v>107</v>
      </c>
    </row>
    <row r="4" spans="1:4" ht="33.6" customHeight="1" x14ac:dyDescent="0.3">
      <c r="A4" s="12" t="s">
        <v>108</v>
      </c>
      <c r="B4" s="23" t="s">
        <v>109</v>
      </c>
      <c r="C4" s="23" t="s">
        <v>110</v>
      </c>
      <c r="D4" s="23" t="s">
        <v>111</v>
      </c>
    </row>
    <row r="5" spans="1:4" x14ac:dyDescent="0.3">
      <c r="A5" s="24" t="s">
        <v>112</v>
      </c>
      <c r="B5" s="10">
        <v>5</v>
      </c>
      <c r="C5" s="21">
        <v>50</v>
      </c>
      <c r="D5" s="21">
        <v>250</v>
      </c>
    </row>
    <row r="6" spans="1:4" ht="28.8" x14ac:dyDescent="0.3">
      <c r="A6" s="24" t="s">
        <v>113</v>
      </c>
      <c r="B6" s="10">
        <v>5</v>
      </c>
      <c r="C6" s="21">
        <v>35</v>
      </c>
      <c r="D6" s="21">
        <v>175</v>
      </c>
    </row>
    <row r="7" spans="1:4" x14ac:dyDescent="0.3">
      <c r="A7" s="24" t="s">
        <v>114</v>
      </c>
      <c r="B7" s="10">
        <v>5</v>
      </c>
      <c r="C7" s="21">
        <v>100</v>
      </c>
      <c r="D7" s="21">
        <v>500</v>
      </c>
    </row>
    <row r="8" spans="1:4" ht="28.8" x14ac:dyDescent="0.3">
      <c r="A8" s="24" t="s">
        <v>115</v>
      </c>
      <c r="B8" s="10">
        <v>3</v>
      </c>
      <c r="C8" s="21">
        <v>60</v>
      </c>
      <c r="D8" s="21">
        <v>180</v>
      </c>
    </row>
    <row r="9" spans="1:4" x14ac:dyDescent="0.3">
      <c r="A9" s="24" t="s">
        <v>116</v>
      </c>
      <c r="B9" s="10">
        <v>5</v>
      </c>
      <c r="C9" s="21">
        <v>25</v>
      </c>
      <c r="D9" s="21">
        <v>125</v>
      </c>
    </row>
    <row r="10" spans="1:4" x14ac:dyDescent="0.3">
      <c r="A10" s="24" t="s">
        <v>117</v>
      </c>
      <c r="B10" s="10">
        <v>3</v>
      </c>
      <c r="C10" s="21">
        <v>7</v>
      </c>
      <c r="D10" s="21">
        <v>21</v>
      </c>
    </row>
    <row r="11" spans="1:4" x14ac:dyDescent="0.3">
      <c r="A11" s="24" t="s">
        <v>118</v>
      </c>
      <c r="B11" s="10">
        <v>2</v>
      </c>
      <c r="C11" s="21">
        <v>10</v>
      </c>
      <c r="D11" s="21">
        <v>20</v>
      </c>
    </row>
    <row r="12" spans="1:4" ht="28.8" x14ac:dyDescent="0.3">
      <c r="A12" s="24" t="s">
        <v>119</v>
      </c>
      <c r="B12" s="10">
        <v>10</v>
      </c>
      <c r="C12" s="21">
        <v>2</v>
      </c>
      <c r="D12" s="21">
        <v>20</v>
      </c>
    </row>
    <row r="13" spans="1:4" ht="28.8" x14ac:dyDescent="0.3">
      <c r="A13" s="24" t="s">
        <v>120</v>
      </c>
      <c r="B13" s="10" t="s">
        <v>19</v>
      </c>
      <c r="C13" s="10" t="s">
        <v>19</v>
      </c>
      <c r="D13" s="21">
        <v>50</v>
      </c>
    </row>
    <row r="14" spans="1:4" ht="28.8" x14ac:dyDescent="0.3">
      <c r="A14" s="25" t="s">
        <v>121</v>
      </c>
      <c r="B14" s="10" t="s">
        <v>19</v>
      </c>
      <c r="C14" s="21">
        <f>C5+C6+C7+C8+C9+C10+C11+C12</f>
        <v>289</v>
      </c>
      <c r="D14" s="22">
        <f>+SUM(D5:D13)</f>
        <v>1341</v>
      </c>
    </row>
    <row r="15" spans="1:4" ht="15" thickBot="1" x14ac:dyDescent="0.35"/>
    <row r="16" spans="1:4" ht="29.4" thickBot="1" x14ac:dyDescent="0.35">
      <c r="A16" s="1" t="s">
        <v>122</v>
      </c>
    </row>
    <row r="18" spans="1:3" x14ac:dyDescent="0.3">
      <c r="A18" s="12" t="s">
        <v>144</v>
      </c>
      <c r="B18" s="23" t="s">
        <v>123</v>
      </c>
      <c r="C18" s="23" t="s">
        <v>124</v>
      </c>
    </row>
    <row r="19" spans="1:3" ht="43.2" x14ac:dyDescent="0.3">
      <c r="A19" s="24" t="s">
        <v>125</v>
      </c>
      <c r="B19" s="10">
        <v>50</v>
      </c>
      <c r="C19" s="21">
        <v>2000</v>
      </c>
    </row>
    <row r="20" spans="1:3" ht="28.8" x14ac:dyDescent="0.3">
      <c r="A20" s="24" t="s">
        <v>126</v>
      </c>
      <c r="B20" s="10">
        <v>40</v>
      </c>
      <c r="C20" s="21">
        <v>1600</v>
      </c>
    </row>
    <row r="21" spans="1:3" ht="28.8" x14ac:dyDescent="0.3">
      <c r="A21" s="24" t="s">
        <v>127</v>
      </c>
      <c r="B21" s="10">
        <v>20</v>
      </c>
      <c r="C21" s="21">
        <v>800</v>
      </c>
    </row>
    <row r="22" spans="1:3" ht="43.2" x14ac:dyDescent="0.3">
      <c r="A22" s="24" t="s">
        <v>128</v>
      </c>
      <c r="B22" s="10">
        <v>80</v>
      </c>
      <c r="C22" s="21">
        <v>3200</v>
      </c>
    </row>
    <row r="23" spans="1:3" ht="28.8" x14ac:dyDescent="0.3">
      <c r="A23" s="24" t="s">
        <v>129</v>
      </c>
      <c r="B23" s="10">
        <v>10</v>
      </c>
      <c r="C23" s="21">
        <v>400</v>
      </c>
    </row>
    <row r="24" spans="1:3" x14ac:dyDescent="0.3">
      <c r="A24" s="25" t="s">
        <v>130</v>
      </c>
      <c r="B24" s="9">
        <v>200</v>
      </c>
      <c r="C24" s="26">
        <f>C19+C20+C21+C22+C23</f>
        <v>8000</v>
      </c>
    </row>
    <row r="25" spans="1:3" ht="15" thickBot="1" x14ac:dyDescent="0.35"/>
    <row r="26" spans="1:3" ht="43.8" thickBot="1" x14ac:dyDescent="0.35">
      <c r="A26" s="1" t="s">
        <v>131</v>
      </c>
    </row>
    <row r="28" spans="1:3" x14ac:dyDescent="0.3">
      <c r="A28" s="27"/>
      <c r="B28" s="23" t="s">
        <v>132</v>
      </c>
      <c r="C28" s="23" t="s">
        <v>133</v>
      </c>
    </row>
    <row r="29" spans="1:3" ht="57.6" x14ac:dyDescent="0.3">
      <c r="A29" s="25" t="s">
        <v>134</v>
      </c>
      <c r="B29" s="10" t="s">
        <v>135</v>
      </c>
      <c r="C29" s="21">
        <v>150</v>
      </c>
    </row>
    <row r="30" spans="1:3" ht="57.6" x14ac:dyDescent="0.3">
      <c r="A30" s="25" t="s">
        <v>136</v>
      </c>
      <c r="B30" s="10" t="s">
        <v>143</v>
      </c>
      <c r="C30" s="21">
        <v>3000</v>
      </c>
    </row>
    <row r="31" spans="1:3" ht="43.2" x14ac:dyDescent="0.3">
      <c r="A31" s="25" t="s">
        <v>137</v>
      </c>
      <c r="B31" s="10" t="s">
        <v>138</v>
      </c>
      <c r="C31" s="21">
        <v>60</v>
      </c>
    </row>
    <row r="32" spans="1:3" ht="43.2" x14ac:dyDescent="0.3">
      <c r="A32" s="25" t="s">
        <v>139</v>
      </c>
      <c r="B32" s="10" t="s">
        <v>140</v>
      </c>
      <c r="C32" s="21">
        <v>50</v>
      </c>
    </row>
    <row r="33" spans="1:3" ht="28.8" x14ac:dyDescent="0.3">
      <c r="A33" s="25" t="s">
        <v>141</v>
      </c>
      <c r="B33" s="10" t="s">
        <v>142</v>
      </c>
      <c r="C33" s="26">
        <f>C29+C30+C31+C32</f>
        <v>3260</v>
      </c>
    </row>
    <row r="35" spans="1:3" ht="15" thickBot="1" x14ac:dyDescent="0.35"/>
    <row r="36" spans="1:3" ht="29.4" thickBot="1" x14ac:dyDescent="0.35">
      <c r="A36" s="1" t="s">
        <v>145</v>
      </c>
    </row>
    <row r="38" spans="1:3" ht="28.8" x14ac:dyDescent="0.3">
      <c r="A38" s="28" t="s">
        <v>146</v>
      </c>
      <c r="B38" s="28" t="s">
        <v>147</v>
      </c>
    </row>
    <row r="39" spans="1:3" ht="28.8" x14ac:dyDescent="0.3">
      <c r="A39" s="9" t="s">
        <v>148</v>
      </c>
      <c r="B39" s="22">
        <f>+SUM(D5:D13)</f>
        <v>1341</v>
      </c>
    </row>
    <row r="40" spans="1:3" ht="28.8" x14ac:dyDescent="0.3">
      <c r="A40" s="9" t="s">
        <v>149</v>
      </c>
      <c r="B40" s="21">
        <f>SUM(C19:C23)</f>
        <v>8000</v>
      </c>
    </row>
    <row r="41" spans="1:3" ht="28.8" x14ac:dyDescent="0.3">
      <c r="A41" s="9" t="s">
        <v>150</v>
      </c>
      <c r="B41" s="21">
        <f>SUM(C29:C32)</f>
        <v>3260</v>
      </c>
    </row>
    <row r="42" spans="1:3" ht="28.8" x14ac:dyDescent="0.3">
      <c r="A42" s="9" t="s">
        <v>151</v>
      </c>
      <c r="B42" s="22">
        <f>SUM(B39:B41)</f>
        <v>12601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86E08-97F4-4CDE-8FCB-1AF22AE968CE}">
  <dimension ref="A1:O79"/>
  <sheetViews>
    <sheetView topLeftCell="A75" workbookViewId="0">
      <selection activeCell="C77" sqref="C77"/>
    </sheetView>
  </sheetViews>
  <sheetFormatPr defaultRowHeight="14.4" x14ac:dyDescent="0.3"/>
  <cols>
    <col min="1" max="1" width="25.5546875" customWidth="1"/>
    <col min="2" max="2" width="18.88671875" customWidth="1"/>
    <col min="3" max="3" width="47.6640625" customWidth="1"/>
    <col min="4" max="4" width="52.109375" customWidth="1"/>
    <col min="5" max="5" width="32.33203125" customWidth="1"/>
    <col min="6" max="6" width="22.109375" customWidth="1"/>
    <col min="7" max="7" width="18.88671875" customWidth="1"/>
    <col min="8" max="8" width="26.6640625" customWidth="1"/>
    <col min="9" max="9" width="14.44140625" customWidth="1"/>
    <col min="10" max="10" width="36.109375" customWidth="1"/>
    <col min="11" max="11" width="25.5546875" customWidth="1"/>
    <col min="12" max="12" width="56.44140625" customWidth="1"/>
    <col min="13" max="13" width="41.88671875" customWidth="1"/>
    <col min="14" max="14" width="53.77734375" customWidth="1"/>
    <col min="15" max="15" width="47.109375" customWidth="1"/>
    <col min="16" max="16" width="15.33203125" customWidth="1"/>
    <col min="17" max="17" width="18.21875" customWidth="1"/>
    <col min="18" max="18" width="17.44140625" customWidth="1"/>
    <col min="19" max="19" width="18.21875" customWidth="1"/>
  </cols>
  <sheetData>
    <row r="1" spans="1:15" ht="15" thickBot="1" x14ac:dyDescent="0.35"/>
    <row r="2" spans="1:15" ht="29.4" thickBot="1" x14ac:dyDescent="0.35">
      <c r="A2" s="1" t="s">
        <v>178</v>
      </c>
      <c r="G2" s="1" t="s">
        <v>218</v>
      </c>
    </row>
    <row r="4" spans="1:15" ht="28.8" x14ac:dyDescent="0.3">
      <c r="A4" s="103" t="s">
        <v>329</v>
      </c>
      <c r="B4" s="23" t="s">
        <v>330</v>
      </c>
      <c r="C4" s="23"/>
      <c r="D4" s="23" t="s">
        <v>264</v>
      </c>
      <c r="E4" s="23" t="s">
        <v>338</v>
      </c>
      <c r="G4" s="23"/>
      <c r="H4" s="23" t="s">
        <v>263</v>
      </c>
      <c r="I4" s="23" t="s">
        <v>176</v>
      </c>
      <c r="J4" s="23" t="s">
        <v>177</v>
      </c>
      <c r="K4" s="23" t="s">
        <v>264</v>
      </c>
      <c r="L4" s="23" t="s">
        <v>265</v>
      </c>
      <c r="M4" s="56" t="s">
        <v>154</v>
      </c>
    </row>
    <row r="5" spans="1:15" ht="28.8" customHeight="1" x14ac:dyDescent="0.3">
      <c r="A5" s="25">
        <v>2026</v>
      </c>
      <c r="B5" s="10" t="s">
        <v>331</v>
      </c>
      <c r="C5" s="10"/>
      <c r="D5" s="10" t="s">
        <v>334</v>
      </c>
      <c r="E5" s="10" t="s">
        <v>337</v>
      </c>
      <c r="G5" s="96">
        <v>2026</v>
      </c>
      <c r="H5" s="55">
        <f>800*100</f>
        <v>80000</v>
      </c>
      <c r="I5" s="54">
        <v>0.03</v>
      </c>
      <c r="J5" s="55">
        <f>H5*I5</f>
        <v>2400</v>
      </c>
      <c r="K5" s="52">
        <v>100</v>
      </c>
      <c r="L5" s="55">
        <f>J5/K5</f>
        <v>24</v>
      </c>
      <c r="M5" s="189" t="s">
        <v>253</v>
      </c>
      <c r="N5" s="48" t="s">
        <v>341</v>
      </c>
    </row>
    <row r="6" spans="1:15" ht="28.8" x14ac:dyDescent="0.3">
      <c r="A6" s="25">
        <v>2027</v>
      </c>
      <c r="B6" s="10" t="s">
        <v>332</v>
      </c>
      <c r="C6" s="10"/>
      <c r="D6" s="10" t="s">
        <v>335</v>
      </c>
      <c r="E6" s="10" t="s">
        <v>339</v>
      </c>
      <c r="G6" s="96">
        <v>2027</v>
      </c>
      <c r="H6" s="55">
        <f>830*500</f>
        <v>415000</v>
      </c>
      <c r="I6" s="54">
        <v>1.4999999999999999E-2</v>
      </c>
      <c r="J6" s="55">
        <f>H6*I6</f>
        <v>6225</v>
      </c>
      <c r="K6" s="52">
        <v>500</v>
      </c>
      <c r="L6" s="55">
        <f>J6/K6</f>
        <v>12.45</v>
      </c>
      <c r="M6" s="191"/>
      <c r="N6" s="48" t="s">
        <v>342</v>
      </c>
    </row>
    <row r="7" spans="1:15" ht="28.8" x14ac:dyDescent="0.3">
      <c r="A7" s="25">
        <v>2028</v>
      </c>
      <c r="B7" s="10" t="s">
        <v>333</v>
      </c>
      <c r="C7" s="10"/>
      <c r="D7" s="10" t="s">
        <v>336</v>
      </c>
      <c r="E7" s="10" t="s">
        <v>340</v>
      </c>
      <c r="G7" s="96">
        <v>2028</v>
      </c>
      <c r="H7" s="55">
        <f>850*1000</f>
        <v>850000</v>
      </c>
      <c r="I7" s="54">
        <v>0.01</v>
      </c>
      <c r="J7" s="55">
        <f>H7*I7</f>
        <v>8500</v>
      </c>
      <c r="K7" s="53">
        <v>1000</v>
      </c>
      <c r="L7" s="55">
        <f>J7/K7</f>
        <v>8.5</v>
      </c>
      <c r="M7" s="190"/>
      <c r="N7" s="48" t="s">
        <v>343</v>
      </c>
    </row>
    <row r="8" spans="1:15" ht="15" thickBot="1" x14ac:dyDescent="0.35">
      <c r="B8" s="97"/>
      <c r="C8" s="97"/>
      <c r="D8" s="97"/>
      <c r="E8" s="97"/>
      <c r="I8" s="98"/>
      <c r="J8" s="99"/>
      <c r="K8" s="98"/>
      <c r="L8" s="100"/>
      <c r="M8" s="98"/>
      <c r="N8" s="101"/>
      <c r="O8" s="80"/>
    </row>
    <row r="9" spans="1:15" ht="15" thickBot="1" x14ac:dyDescent="0.35">
      <c r="A9" s="1" t="s">
        <v>344</v>
      </c>
      <c r="B9" s="97"/>
      <c r="C9" s="97"/>
      <c r="D9" s="97"/>
      <c r="E9" s="97"/>
      <c r="I9" s="98"/>
      <c r="J9" s="99"/>
      <c r="K9" s="98"/>
      <c r="L9" s="100"/>
      <c r="M9" s="98"/>
      <c r="N9" s="101"/>
      <c r="O9" s="80"/>
    </row>
    <row r="11" spans="1:15" ht="23.4" x14ac:dyDescent="0.45">
      <c r="A11" s="102" t="s">
        <v>266</v>
      </c>
      <c r="B11" s="8">
        <v>2026</v>
      </c>
      <c r="C11" s="8">
        <v>2027</v>
      </c>
      <c r="D11" s="8">
        <v>2028</v>
      </c>
    </row>
    <row r="12" spans="1:15" x14ac:dyDescent="0.3">
      <c r="A12" s="8" t="s">
        <v>267</v>
      </c>
      <c r="B12" s="5">
        <v>100</v>
      </c>
      <c r="C12" s="5">
        <v>500</v>
      </c>
      <c r="D12" s="5">
        <v>1000</v>
      </c>
    </row>
    <row r="13" spans="1:15" x14ac:dyDescent="0.3">
      <c r="A13" s="8" t="s">
        <v>268</v>
      </c>
      <c r="B13" s="41">
        <v>395</v>
      </c>
      <c r="C13" s="41">
        <v>353</v>
      </c>
      <c r="D13" s="41">
        <v>314</v>
      </c>
    </row>
    <row r="14" spans="1:15" x14ac:dyDescent="0.3">
      <c r="A14" s="8" t="s">
        <v>269</v>
      </c>
      <c r="B14" s="41">
        <f>B13*B12</f>
        <v>39500</v>
      </c>
      <c r="C14" s="41">
        <f t="shared" ref="C14:D14" si="0">C13*C12</f>
        <v>176500</v>
      </c>
      <c r="D14" s="41">
        <f t="shared" si="0"/>
        <v>314000</v>
      </c>
    </row>
    <row r="15" spans="1:15" ht="15" thickBot="1" x14ac:dyDescent="0.35"/>
    <row r="16" spans="1:15" ht="43.8" thickBot="1" x14ac:dyDescent="0.35">
      <c r="A16" s="1" t="s">
        <v>345</v>
      </c>
    </row>
    <row r="18" spans="1:12" x14ac:dyDescent="0.3">
      <c r="A18" s="8"/>
      <c r="B18" s="39" t="s">
        <v>321</v>
      </c>
      <c r="C18" s="39" t="s">
        <v>346</v>
      </c>
      <c r="D18" s="25" t="s">
        <v>154</v>
      </c>
    </row>
    <row r="19" spans="1:12" ht="28.8" x14ac:dyDescent="0.3">
      <c r="A19" s="40" t="s">
        <v>347</v>
      </c>
      <c r="B19" s="41">
        <v>15</v>
      </c>
      <c r="C19" s="41" t="s">
        <v>209</v>
      </c>
      <c r="D19" s="36" t="s">
        <v>254</v>
      </c>
    </row>
    <row r="20" spans="1:12" ht="86.4" x14ac:dyDescent="0.3">
      <c r="A20" s="40" t="s">
        <v>348</v>
      </c>
      <c r="B20" s="41" t="s">
        <v>259</v>
      </c>
      <c r="C20" s="5" t="s">
        <v>350</v>
      </c>
      <c r="D20" s="42" t="s">
        <v>210</v>
      </c>
    </row>
    <row r="21" spans="1:12" ht="115.2" x14ac:dyDescent="0.3">
      <c r="A21" s="40" t="s">
        <v>349</v>
      </c>
      <c r="B21" s="43">
        <v>13000</v>
      </c>
      <c r="C21" s="5" t="s">
        <v>165</v>
      </c>
      <c r="D21" s="36" t="s">
        <v>211</v>
      </c>
    </row>
    <row r="22" spans="1:12" x14ac:dyDescent="0.3">
      <c r="A22" s="40" t="s">
        <v>279</v>
      </c>
      <c r="B22" s="43">
        <v>5000</v>
      </c>
      <c r="C22" s="5" t="s">
        <v>165</v>
      </c>
      <c r="D22" s="44"/>
    </row>
    <row r="23" spans="1:12" ht="57.6" x14ac:dyDescent="0.3">
      <c r="A23" s="40" t="s">
        <v>351</v>
      </c>
      <c r="B23" s="43">
        <v>0.5</v>
      </c>
      <c r="C23" s="36" t="s">
        <v>352</v>
      </c>
      <c r="D23" s="106" t="s">
        <v>224</v>
      </c>
      <c r="H23" s="105"/>
      <c r="I23" s="104"/>
      <c r="J23" s="29"/>
    </row>
    <row r="24" spans="1:12" ht="15" thickBot="1" x14ac:dyDescent="0.35"/>
    <row r="25" spans="1:12" ht="15" thickBot="1" x14ac:dyDescent="0.35">
      <c r="A25" s="1" t="s">
        <v>353</v>
      </c>
      <c r="H25" s="1" t="s">
        <v>219</v>
      </c>
    </row>
    <row r="27" spans="1:12" ht="72" x14ac:dyDescent="0.3">
      <c r="A27" s="40" t="s">
        <v>354</v>
      </c>
      <c r="B27" s="41">
        <v>2200</v>
      </c>
      <c r="C27" s="41" t="s">
        <v>152</v>
      </c>
      <c r="D27" s="36" t="s">
        <v>255</v>
      </c>
      <c r="H27" s="37" t="s">
        <v>155</v>
      </c>
      <c r="I27" s="37" t="s">
        <v>156</v>
      </c>
      <c r="J27" s="37" t="s">
        <v>157</v>
      </c>
      <c r="K27" s="37" t="s">
        <v>158</v>
      </c>
      <c r="L27" s="37" t="s">
        <v>154</v>
      </c>
    </row>
    <row r="28" spans="1:12" ht="86.4" x14ac:dyDescent="0.3">
      <c r="A28" s="40" t="s">
        <v>355</v>
      </c>
      <c r="B28" s="43">
        <v>6000</v>
      </c>
      <c r="C28" s="5" t="s">
        <v>213</v>
      </c>
      <c r="D28" s="42" t="s">
        <v>212</v>
      </c>
      <c r="H28" s="38" t="s">
        <v>164</v>
      </c>
      <c r="I28" s="30" t="s">
        <v>216</v>
      </c>
      <c r="J28" s="31">
        <v>0.25</v>
      </c>
      <c r="K28" s="33">
        <f>48000*0.25</f>
        <v>12000</v>
      </c>
      <c r="L28" s="35" t="s">
        <v>215</v>
      </c>
    </row>
    <row r="29" spans="1:12" ht="57.6" x14ac:dyDescent="0.3">
      <c r="A29" s="40" t="s">
        <v>356</v>
      </c>
      <c r="B29" s="43">
        <v>700</v>
      </c>
      <c r="C29" s="5" t="s">
        <v>153</v>
      </c>
      <c r="D29" s="42" t="s">
        <v>214</v>
      </c>
      <c r="H29" s="38" t="s">
        <v>159</v>
      </c>
      <c r="I29" s="30" t="s">
        <v>217</v>
      </c>
      <c r="J29" s="31">
        <v>0.18</v>
      </c>
      <c r="K29" s="33">
        <f>60000*0.18</f>
        <v>10800</v>
      </c>
      <c r="L29" s="5"/>
    </row>
    <row r="30" spans="1:12" x14ac:dyDescent="0.3">
      <c r="H30" s="38" t="s">
        <v>160</v>
      </c>
      <c r="I30" s="30" t="s">
        <v>216</v>
      </c>
      <c r="J30" s="31">
        <v>0.06</v>
      </c>
      <c r="K30" s="33">
        <f>48000*0.06</f>
        <v>2880</v>
      </c>
      <c r="L30" s="5"/>
    </row>
    <row r="31" spans="1:12" x14ac:dyDescent="0.3">
      <c r="H31" s="38" t="s">
        <v>161</v>
      </c>
      <c r="I31" s="30" t="s">
        <v>216</v>
      </c>
      <c r="J31" s="30" t="s">
        <v>162</v>
      </c>
      <c r="K31" s="33">
        <f>48000*0.015</f>
        <v>720</v>
      </c>
      <c r="L31" s="5"/>
    </row>
    <row r="32" spans="1:12" ht="57.6" customHeight="1" x14ac:dyDescent="0.3">
      <c r="H32" s="37" t="s">
        <v>163</v>
      </c>
      <c r="I32" s="32"/>
      <c r="J32" s="32"/>
      <c r="K32" s="34">
        <f>SUM(K28:K31)</f>
        <v>26400</v>
      </c>
      <c r="L32" s="36" t="s">
        <v>256</v>
      </c>
    </row>
    <row r="33" spans="1:13" ht="16.2" customHeight="1" thickBot="1" x14ac:dyDescent="0.35">
      <c r="D33" s="29"/>
    </row>
    <row r="34" spans="1:13" ht="44.4" customHeight="1" thickBot="1" x14ac:dyDescent="0.35">
      <c r="A34" s="1" t="s">
        <v>221</v>
      </c>
      <c r="H34" s="1" t="s">
        <v>220</v>
      </c>
    </row>
    <row r="35" spans="1:13" ht="24" customHeight="1" x14ac:dyDescent="0.3"/>
    <row r="36" spans="1:13" x14ac:dyDescent="0.3">
      <c r="A36" s="23" t="s">
        <v>357</v>
      </c>
      <c r="B36" s="23">
        <v>2026</v>
      </c>
      <c r="C36" s="23">
        <v>2027</v>
      </c>
      <c r="D36" s="23">
        <v>2028</v>
      </c>
      <c r="E36" s="57" t="s">
        <v>179</v>
      </c>
      <c r="H36" s="23" t="s">
        <v>366</v>
      </c>
      <c r="I36" s="23" t="s">
        <v>367</v>
      </c>
      <c r="J36" s="23" t="s">
        <v>368</v>
      </c>
      <c r="K36" s="23" t="s">
        <v>369</v>
      </c>
      <c r="L36" s="57" t="s">
        <v>154</v>
      </c>
      <c r="M36" s="57" t="s">
        <v>154</v>
      </c>
    </row>
    <row r="37" spans="1:13" ht="100.8" customHeight="1" x14ac:dyDescent="0.3">
      <c r="A37" s="25" t="s">
        <v>358</v>
      </c>
      <c r="B37" s="60">
        <v>120</v>
      </c>
      <c r="C37" s="60">
        <v>480</v>
      </c>
      <c r="D37" s="60">
        <v>1000</v>
      </c>
      <c r="E37" s="192" t="s">
        <v>222</v>
      </c>
      <c r="H37" s="24">
        <v>2026</v>
      </c>
      <c r="I37" s="10">
        <v>1</v>
      </c>
      <c r="J37" s="95">
        <f>K32</f>
        <v>26400</v>
      </c>
      <c r="K37" s="95">
        <f>K32</f>
        <v>26400</v>
      </c>
      <c r="L37" s="193" t="s">
        <v>257</v>
      </c>
      <c r="M37" s="193" t="s">
        <v>180</v>
      </c>
    </row>
    <row r="38" spans="1:13" ht="28.8" x14ac:dyDescent="0.3">
      <c r="A38" s="25" t="s">
        <v>359</v>
      </c>
      <c r="B38" s="58">
        <v>1000</v>
      </c>
      <c r="C38" s="58">
        <v>2200</v>
      </c>
      <c r="D38" s="58">
        <v>4000</v>
      </c>
      <c r="E38" s="192"/>
      <c r="H38" s="24">
        <v>2027</v>
      </c>
      <c r="I38" s="10">
        <v>4</v>
      </c>
      <c r="J38" s="95">
        <v>92400</v>
      </c>
      <c r="K38" s="95">
        <f>J38/I38</f>
        <v>23100</v>
      </c>
      <c r="L38" s="194"/>
      <c r="M38" s="194"/>
    </row>
    <row r="39" spans="1:13" x14ac:dyDescent="0.3">
      <c r="A39" s="25" t="s">
        <v>360</v>
      </c>
      <c r="B39" s="60">
        <v>1</v>
      </c>
      <c r="C39" s="60">
        <v>4</v>
      </c>
      <c r="D39" s="60">
        <v>8</v>
      </c>
      <c r="E39" s="192"/>
      <c r="H39" s="24">
        <v>2028</v>
      </c>
      <c r="I39" s="10">
        <v>8</v>
      </c>
      <c r="J39" s="95">
        <v>160000</v>
      </c>
      <c r="K39" s="95">
        <v>20000</v>
      </c>
      <c r="L39" s="195"/>
      <c r="M39" s="195"/>
    </row>
    <row r="40" spans="1:13" x14ac:dyDescent="0.3">
      <c r="A40" s="25" t="s">
        <v>361</v>
      </c>
      <c r="B40" s="58">
        <v>6000</v>
      </c>
      <c r="C40" s="58">
        <v>5000</v>
      </c>
      <c r="D40" s="58">
        <v>4000</v>
      </c>
      <c r="E40" s="192"/>
    </row>
    <row r="41" spans="1:13" x14ac:dyDescent="0.3">
      <c r="A41" s="25" t="s">
        <v>362</v>
      </c>
      <c r="B41" s="58">
        <f>B40*B39</f>
        <v>6000</v>
      </c>
      <c r="C41" s="58">
        <f>C40*C39</f>
        <v>20000</v>
      </c>
      <c r="D41" s="58">
        <f>D40*D39</f>
        <v>32000</v>
      </c>
      <c r="E41" s="192"/>
    </row>
    <row r="42" spans="1:13" x14ac:dyDescent="0.3">
      <c r="A42" s="25" t="s">
        <v>363</v>
      </c>
      <c r="B42" s="58">
        <v>700</v>
      </c>
      <c r="C42" s="58">
        <v>600</v>
      </c>
      <c r="D42" s="58">
        <v>500</v>
      </c>
      <c r="E42" s="192"/>
    </row>
    <row r="43" spans="1:13" x14ac:dyDescent="0.3">
      <c r="A43" s="25" t="s">
        <v>364</v>
      </c>
      <c r="B43" s="58">
        <f>B42*B39</f>
        <v>700</v>
      </c>
      <c r="C43" s="58">
        <f>C42*C39</f>
        <v>2400</v>
      </c>
      <c r="D43" s="58">
        <f t="shared" ref="D43" si="1">D42*D39</f>
        <v>4000</v>
      </c>
      <c r="E43" s="192"/>
    </row>
    <row r="44" spans="1:13" x14ac:dyDescent="0.3">
      <c r="A44" s="25" t="s">
        <v>365</v>
      </c>
      <c r="B44" s="59">
        <f>B43+B41+B38</f>
        <v>7700</v>
      </c>
      <c r="C44" s="59">
        <f>C43+C41+C38</f>
        <v>24600</v>
      </c>
      <c r="D44" s="59">
        <f>D43+D41+D38</f>
        <v>40000</v>
      </c>
      <c r="E44" s="192"/>
    </row>
    <row r="45" spans="1:13" x14ac:dyDescent="0.3">
      <c r="E45" s="70"/>
    </row>
    <row r="46" spans="1:13" ht="15" thickBot="1" x14ac:dyDescent="0.35">
      <c r="E46" s="70"/>
    </row>
    <row r="47" spans="1:13" ht="15" thickBot="1" x14ac:dyDescent="0.35">
      <c r="A47" s="1" t="s">
        <v>370</v>
      </c>
      <c r="E47" s="70"/>
    </row>
    <row r="49" spans="1:5" ht="28.8" x14ac:dyDescent="0.3">
      <c r="A49" s="23" t="s">
        <v>366</v>
      </c>
      <c r="B49" s="23" t="s">
        <v>371</v>
      </c>
      <c r="C49" s="23" t="s">
        <v>154</v>
      </c>
    </row>
    <row r="50" spans="1:5" x14ac:dyDescent="0.3">
      <c r="A50" s="24">
        <v>2026</v>
      </c>
      <c r="B50" s="46">
        <v>5000</v>
      </c>
      <c r="C50" s="10" t="s">
        <v>372</v>
      </c>
    </row>
    <row r="51" spans="1:5" x14ac:dyDescent="0.3">
      <c r="A51" s="24">
        <v>2027</v>
      </c>
      <c r="B51" s="46">
        <v>7000</v>
      </c>
      <c r="C51" s="10" t="s">
        <v>373</v>
      </c>
    </row>
    <row r="52" spans="1:5" x14ac:dyDescent="0.3">
      <c r="A52" s="24">
        <v>2028</v>
      </c>
      <c r="B52" s="46">
        <v>8000</v>
      </c>
      <c r="C52" s="10" t="s">
        <v>374</v>
      </c>
    </row>
    <row r="53" spans="1:5" x14ac:dyDescent="0.3">
      <c r="A53" s="25" t="s">
        <v>167</v>
      </c>
      <c r="B53" s="47">
        <v>20000</v>
      </c>
      <c r="C53" s="10"/>
    </row>
    <row r="54" spans="1:5" ht="15" thickBot="1" x14ac:dyDescent="0.35"/>
    <row r="55" spans="1:5" ht="15" thickBot="1" x14ac:dyDescent="0.35">
      <c r="A55" s="1" t="s">
        <v>376</v>
      </c>
    </row>
    <row r="57" spans="1:5" x14ac:dyDescent="0.3">
      <c r="A57" s="23" t="s">
        <v>375</v>
      </c>
      <c r="B57" s="23" t="s">
        <v>168</v>
      </c>
      <c r="C57" s="23" t="s">
        <v>169</v>
      </c>
      <c r="D57" s="23" t="s">
        <v>154</v>
      </c>
      <c r="E57" s="23" t="s">
        <v>154</v>
      </c>
    </row>
    <row r="58" spans="1:5" x14ac:dyDescent="0.3">
      <c r="A58" s="24" t="s">
        <v>170</v>
      </c>
      <c r="B58" s="10" t="s">
        <v>171</v>
      </c>
      <c r="C58" s="45">
        <v>50000</v>
      </c>
      <c r="D58" s="10" t="s">
        <v>378</v>
      </c>
      <c r="E58" s="196" t="s">
        <v>258</v>
      </c>
    </row>
    <row r="59" spans="1:5" x14ac:dyDescent="0.3">
      <c r="A59" s="24" t="s">
        <v>172</v>
      </c>
      <c r="B59" s="10" t="s">
        <v>171</v>
      </c>
      <c r="C59" s="45">
        <v>30000</v>
      </c>
      <c r="D59" s="10" t="s">
        <v>379</v>
      </c>
      <c r="E59" s="196"/>
    </row>
    <row r="60" spans="1:5" ht="28.8" x14ac:dyDescent="0.3">
      <c r="A60" s="24" t="s">
        <v>377</v>
      </c>
      <c r="B60" s="10" t="s">
        <v>173</v>
      </c>
      <c r="C60" s="45">
        <v>15000</v>
      </c>
      <c r="D60" s="10" t="s">
        <v>380</v>
      </c>
      <c r="E60" s="196"/>
    </row>
    <row r="61" spans="1:5" ht="36" customHeight="1" x14ac:dyDescent="0.3">
      <c r="A61" s="25" t="s">
        <v>167</v>
      </c>
      <c r="B61" s="48"/>
      <c r="C61" s="49">
        <f>SUM(C58:C60)</f>
        <v>95000</v>
      </c>
      <c r="D61" s="48"/>
      <c r="E61" s="196"/>
    </row>
    <row r="62" spans="1:5" ht="17.399999999999999" customHeight="1" thickBot="1" x14ac:dyDescent="0.35"/>
    <row r="63" spans="1:5" ht="28.8" customHeight="1" thickBot="1" x14ac:dyDescent="0.35">
      <c r="A63" s="1" t="s">
        <v>381</v>
      </c>
    </row>
    <row r="65" spans="1:4" x14ac:dyDescent="0.3">
      <c r="A65" s="23" t="s">
        <v>357</v>
      </c>
      <c r="B65" s="23">
        <v>2026</v>
      </c>
      <c r="C65" s="23">
        <v>2027</v>
      </c>
      <c r="D65" s="23">
        <v>2028</v>
      </c>
    </row>
    <row r="66" spans="1:4" x14ac:dyDescent="0.3">
      <c r="A66" s="24" t="s">
        <v>382</v>
      </c>
      <c r="B66" s="10">
        <v>800</v>
      </c>
      <c r="C66" s="10">
        <v>830</v>
      </c>
      <c r="D66" s="10">
        <v>850</v>
      </c>
    </row>
    <row r="67" spans="1:4" x14ac:dyDescent="0.3">
      <c r="A67" s="24" t="s">
        <v>264</v>
      </c>
      <c r="B67" s="10">
        <v>100</v>
      </c>
      <c r="C67" s="10">
        <v>500</v>
      </c>
      <c r="D67" s="45">
        <v>1000</v>
      </c>
    </row>
    <row r="68" spans="1:4" x14ac:dyDescent="0.3">
      <c r="A68" s="24" t="s">
        <v>383</v>
      </c>
      <c r="B68" s="50">
        <v>0.04</v>
      </c>
      <c r="C68" s="50">
        <v>0.03</v>
      </c>
      <c r="D68" s="50">
        <v>0.02</v>
      </c>
    </row>
    <row r="69" spans="1:4" x14ac:dyDescent="0.3">
      <c r="A69" s="24" t="s">
        <v>384</v>
      </c>
      <c r="B69" s="10">
        <v>4</v>
      </c>
      <c r="C69" s="10">
        <v>15</v>
      </c>
      <c r="D69" s="10">
        <v>20</v>
      </c>
    </row>
    <row r="70" spans="1:4" x14ac:dyDescent="0.3">
      <c r="A70" s="24" t="s">
        <v>385</v>
      </c>
      <c r="B70" s="51">
        <f>B66*B69</f>
        <v>3200</v>
      </c>
      <c r="C70" s="51">
        <f>C66*C69</f>
        <v>12450</v>
      </c>
      <c r="D70" s="51">
        <f>D66*D69</f>
        <v>17000</v>
      </c>
    </row>
    <row r="71" spans="1:4" ht="15" thickBot="1" x14ac:dyDescent="0.35"/>
    <row r="72" spans="1:4" ht="29.4" thickBot="1" x14ac:dyDescent="0.35">
      <c r="A72" s="1" t="s">
        <v>386</v>
      </c>
    </row>
    <row r="74" spans="1:4" ht="43.2" x14ac:dyDescent="0.3">
      <c r="A74" s="37" t="s">
        <v>387</v>
      </c>
      <c r="B74" s="30" t="s">
        <v>388</v>
      </c>
      <c r="C74" s="5" t="s">
        <v>389</v>
      </c>
    </row>
    <row r="75" spans="1:4" ht="201.6" x14ac:dyDescent="0.3">
      <c r="A75" s="37" t="s">
        <v>390</v>
      </c>
      <c r="B75" s="30" t="s">
        <v>391</v>
      </c>
      <c r="C75" s="36" t="s">
        <v>252</v>
      </c>
    </row>
    <row r="76" spans="1:4" ht="43.2" x14ac:dyDescent="0.3">
      <c r="A76" s="37" t="s">
        <v>166</v>
      </c>
      <c r="B76" s="30" t="s">
        <v>392</v>
      </c>
      <c r="C76" s="5" t="s">
        <v>389</v>
      </c>
    </row>
    <row r="77" spans="1:4" ht="28.8" x14ac:dyDescent="0.3">
      <c r="A77" s="37" t="s">
        <v>174</v>
      </c>
      <c r="B77" s="30" t="s">
        <v>393</v>
      </c>
      <c r="C77" s="5" t="s">
        <v>389</v>
      </c>
    </row>
    <row r="78" spans="1:4" ht="49.2" customHeight="1" x14ac:dyDescent="0.3">
      <c r="A78" s="37" t="s">
        <v>175</v>
      </c>
      <c r="B78" s="35" t="s">
        <v>394</v>
      </c>
      <c r="C78" s="189" t="s">
        <v>260</v>
      </c>
    </row>
    <row r="79" spans="1:4" ht="60" customHeight="1" x14ac:dyDescent="0.3">
      <c r="A79" s="25" t="s">
        <v>194</v>
      </c>
      <c r="B79" s="35" t="s">
        <v>394</v>
      </c>
      <c r="C79" s="190"/>
    </row>
  </sheetData>
  <mergeCells count="6">
    <mergeCell ref="C78:C79"/>
    <mergeCell ref="M5:M7"/>
    <mergeCell ref="E37:E44"/>
    <mergeCell ref="L37:L39"/>
    <mergeCell ref="M37:M39"/>
    <mergeCell ref="E58:E6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E7B2B-F855-482B-B0ED-E5D633C0A0E8}">
  <dimension ref="A1:R32"/>
  <sheetViews>
    <sheetView topLeftCell="G5" zoomScale="97" workbookViewId="0">
      <selection activeCell="K18" sqref="K18"/>
    </sheetView>
  </sheetViews>
  <sheetFormatPr defaultRowHeight="14.4" x14ac:dyDescent="0.3"/>
  <cols>
    <col min="1" max="1" width="27.109375" customWidth="1"/>
    <col min="2" max="2" width="14.21875" customWidth="1"/>
    <col min="3" max="4" width="13.6640625" bestFit="1" customWidth="1"/>
    <col min="8" max="8" width="24" customWidth="1"/>
    <col min="9" max="9" width="12.77734375" bestFit="1" customWidth="1"/>
    <col min="10" max="10" width="14" customWidth="1"/>
    <col min="11" max="11" width="13.5546875" bestFit="1" customWidth="1"/>
    <col min="15" max="15" width="15.33203125" customWidth="1"/>
    <col min="16" max="16" width="13.44140625" customWidth="1"/>
    <col min="17" max="17" width="13.88671875" customWidth="1"/>
    <col min="18" max="18" width="13.5546875" bestFit="1" customWidth="1"/>
  </cols>
  <sheetData>
    <row r="1" spans="1:18" ht="29.4" thickBot="1" x14ac:dyDescent="0.35">
      <c r="A1" s="1" t="s">
        <v>407</v>
      </c>
      <c r="H1" s="1" t="s">
        <v>408</v>
      </c>
      <c r="O1" s="1" t="s">
        <v>409</v>
      </c>
    </row>
    <row r="2" spans="1:18" ht="15" thickBot="1" x14ac:dyDescent="0.35"/>
    <row r="3" spans="1:18" ht="24" thickBot="1" x14ac:dyDescent="0.5">
      <c r="A3" s="63" t="s">
        <v>273</v>
      </c>
      <c r="B3" s="61">
        <v>2026</v>
      </c>
      <c r="C3" s="61">
        <v>2027</v>
      </c>
      <c r="D3" s="61">
        <v>2028</v>
      </c>
      <c r="H3" s="63"/>
      <c r="I3" s="61">
        <v>2026</v>
      </c>
      <c r="J3" s="61">
        <v>2027</v>
      </c>
      <c r="K3" s="61">
        <v>2028</v>
      </c>
      <c r="P3" s="88">
        <v>2026</v>
      </c>
      <c r="Q3" s="89">
        <v>2027</v>
      </c>
      <c r="R3" s="90">
        <v>2028</v>
      </c>
    </row>
    <row r="4" spans="1:18" x14ac:dyDescent="0.3">
      <c r="A4" s="61" t="s">
        <v>267</v>
      </c>
      <c r="B4" s="5">
        <v>100</v>
      </c>
      <c r="C4" s="5">
        <v>500</v>
      </c>
      <c r="D4" s="5">
        <v>1000</v>
      </c>
      <c r="H4" s="61" t="s">
        <v>277</v>
      </c>
      <c r="I4" s="41">
        <f>1100*12</f>
        <v>13200</v>
      </c>
      <c r="J4" s="41">
        <f>1200*12</f>
        <v>14400</v>
      </c>
      <c r="K4" s="41">
        <f>1800*12</f>
        <v>21600</v>
      </c>
      <c r="O4" s="78" t="s">
        <v>411</v>
      </c>
      <c r="P4" s="76">
        <f>B32+B24+B10</f>
        <v>80400</v>
      </c>
      <c r="Q4" s="72">
        <f>C32+C24+C10</f>
        <v>323350</v>
      </c>
      <c r="R4" s="73">
        <f>D32+D24+D10</f>
        <v>565200</v>
      </c>
    </row>
    <row r="5" spans="1:18" x14ac:dyDescent="0.3">
      <c r="A5" s="62" t="s">
        <v>272</v>
      </c>
      <c r="B5" s="41">
        <v>395</v>
      </c>
      <c r="C5" s="41">
        <v>353</v>
      </c>
      <c r="D5" s="41">
        <v>314</v>
      </c>
      <c r="H5" s="94" t="s">
        <v>204</v>
      </c>
      <c r="I5" s="41">
        <v>5000</v>
      </c>
      <c r="J5" s="41">
        <v>7000</v>
      </c>
      <c r="K5" s="41">
        <v>8000</v>
      </c>
      <c r="O5" s="93" t="s">
        <v>412</v>
      </c>
      <c r="P5" s="92">
        <f>I18+I9</f>
        <v>113800</v>
      </c>
      <c r="Q5" s="67">
        <f>J18+J9</f>
        <v>101400</v>
      </c>
      <c r="R5" s="91">
        <f>K18+K9</f>
        <v>124600</v>
      </c>
    </row>
    <row r="6" spans="1:18" ht="29.4" thickBot="1" x14ac:dyDescent="0.35">
      <c r="A6" s="62" t="s">
        <v>271</v>
      </c>
      <c r="B6" s="41">
        <f>B5*B4</f>
        <v>39500</v>
      </c>
      <c r="C6" s="41">
        <f>C5*C4</f>
        <v>176500</v>
      </c>
      <c r="D6" s="41">
        <f>D5*D4</f>
        <v>314000</v>
      </c>
      <c r="H6" s="62" t="s">
        <v>278</v>
      </c>
      <c r="I6" s="41">
        <v>13000</v>
      </c>
      <c r="J6" s="41" t="s">
        <v>187</v>
      </c>
      <c r="K6" s="41" t="s">
        <v>187</v>
      </c>
      <c r="O6" s="79" t="s">
        <v>410</v>
      </c>
      <c r="P6" s="77">
        <f>P5+P4</f>
        <v>194200</v>
      </c>
      <c r="Q6" s="74">
        <f>Q5+Q4</f>
        <v>424750</v>
      </c>
      <c r="R6" s="75">
        <f>R5+R4</f>
        <v>689800</v>
      </c>
    </row>
    <row r="7" spans="1:18" x14ac:dyDescent="0.3">
      <c r="A7" s="62" t="s">
        <v>181</v>
      </c>
      <c r="B7" s="5">
        <v>200</v>
      </c>
      <c r="C7" s="5">
        <v>1000</v>
      </c>
      <c r="D7" s="5">
        <v>2000</v>
      </c>
      <c r="H7" s="61" t="s">
        <v>279</v>
      </c>
      <c r="I7" s="41">
        <v>5000</v>
      </c>
      <c r="J7" s="41" t="s">
        <v>187</v>
      </c>
      <c r="K7" s="41" t="s">
        <v>187</v>
      </c>
    </row>
    <row r="8" spans="1:18" x14ac:dyDescent="0.3">
      <c r="A8" s="62" t="s">
        <v>270</v>
      </c>
      <c r="B8" s="41">
        <f>15*B7</f>
        <v>3000</v>
      </c>
      <c r="C8" s="41">
        <f t="shared" ref="C8" si="0">15*C7</f>
        <v>15000</v>
      </c>
      <c r="D8" s="41">
        <f>15*D7</f>
        <v>30000</v>
      </c>
      <c r="H8" s="61" t="s">
        <v>280</v>
      </c>
      <c r="I8" s="41">
        <v>12600</v>
      </c>
      <c r="J8" s="41" t="s">
        <v>187</v>
      </c>
      <c r="K8" s="41" t="s">
        <v>187</v>
      </c>
    </row>
    <row r="9" spans="1:18" ht="28.8" x14ac:dyDescent="0.3">
      <c r="A9" s="62" t="s">
        <v>223</v>
      </c>
      <c r="B9" s="41">
        <f>0.5*12*B4</f>
        <v>600</v>
      </c>
      <c r="C9" s="41">
        <f>0.4*12*C4</f>
        <v>2400.0000000000005</v>
      </c>
      <c r="D9" s="41">
        <f>0.35*12*D4</f>
        <v>4199.9999999999991</v>
      </c>
      <c r="H9" s="61" t="s">
        <v>276</v>
      </c>
      <c r="I9" s="68">
        <f>I4+I6+I7+I8+I5</f>
        <v>48800</v>
      </c>
      <c r="J9" s="68">
        <f>J4+J5</f>
        <v>21400</v>
      </c>
      <c r="K9" s="68">
        <f>K4+K5</f>
        <v>29600</v>
      </c>
    </row>
    <row r="10" spans="1:18" x14ac:dyDescent="0.3">
      <c r="A10" s="62" t="s">
        <v>276</v>
      </c>
      <c r="B10" s="67">
        <f>B9+B8+B6</f>
        <v>43100</v>
      </c>
      <c r="C10" s="67">
        <f>C9+C8+C6</f>
        <v>193900</v>
      </c>
      <c r="D10" s="67">
        <f t="shared" ref="D10" si="1">D9+D8+D6</f>
        <v>348200</v>
      </c>
    </row>
    <row r="13" spans="1:18" ht="70.2" x14ac:dyDescent="0.45">
      <c r="A13" s="64" t="s">
        <v>395</v>
      </c>
      <c r="B13" s="61">
        <v>2026</v>
      </c>
      <c r="C13" s="61">
        <v>2027</v>
      </c>
      <c r="D13" s="61">
        <v>2028</v>
      </c>
      <c r="H13" s="64" t="s">
        <v>201</v>
      </c>
      <c r="I13" s="61">
        <v>2026</v>
      </c>
      <c r="J13" s="61">
        <v>2027</v>
      </c>
      <c r="K13" s="61">
        <v>2028</v>
      </c>
    </row>
    <row r="14" spans="1:18" x14ac:dyDescent="0.3">
      <c r="A14" s="61" t="s">
        <v>396</v>
      </c>
      <c r="B14" s="5">
        <v>120</v>
      </c>
      <c r="C14" s="5">
        <v>480</v>
      </c>
      <c r="D14" s="5">
        <v>1000</v>
      </c>
      <c r="H14" s="61" t="s">
        <v>183</v>
      </c>
      <c r="I14" s="41">
        <v>50000</v>
      </c>
      <c r="J14" s="41">
        <v>50000</v>
      </c>
      <c r="K14" s="41">
        <v>50000</v>
      </c>
    </row>
    <row r="15" spans="1:18" x14ac:dyDescent="0.3">
      <c r="A15" s="61" t="s">
        <v>397</v>
      </c>
      <c r="B15" s="5">
        <v>1</v>
      </c>
      <c r="C15" s="5">
        <v>4</v>
      </c>
      <c r="D15" s="5">
        <v>8</v>
      </c>
      <c r="H15" s="61" t="s">
        <v>185</v>
      </c>
      <c r="I15" s="41">
        <v>15000</v>
      </c>
      <c r="J15" s="41">
        <v>30000</v>
      </c>
      <c r="K15" s="41">
        <v>30000</v>
      </c>
    </row>
    <row r="16" spans="1:18" ht="28.8" x14ac:dyDescent="0.3">
      <c r="A16" s="62" t="s">
        <v>398</v>
      </c>
      <c r="B16" s="68">
        <v>1000</v>
      </c>
      <c r="C16" s="68">
        <v>2200</v>
      </c>
      <c r="D16" s="68">
        <v>4000</v>
      </c>
      <c r="H16" s="61" t="s">
        <v>186</v>
      </c>
      <c r="I16" s="41">
        <v>0</v>
      </c>
      <c r="J16" s="41">
        <v>0</v>
      </c>
      <c r="K16" s="41">
        <v>0</v>
      </c>
    </row>
    <row r="17" spans="1:11" x14ac:dyDescent="0.3">
      <c r="A17" s="62" t="s">
        <v>399</v>
      </c>
      <c r="B17" s="84">
        <v>6000</v>
      </c>
      <c r="C17" s="84">
        <v>5000</v>
      </c>
      <c r="D17" s="84">
        <v>4000</v>
      </c>
      <c r="H17" s="61" t="s">
        <v>184</v>
      </c>
      <c r="I17" s="41">
        <v>0</v>
      </c>
      <c r="J17" s="41">
        <v>0</v>
      </c>
      <c r="K17" s="41">
        <v>15000</v>
      </c>
    </row>
    <row r="18" spans="1:11" x14ac:dyDescent="0.3">
      <c r="A18" s="61" t="s">
        <v>400</v>
      </c>
      <c r="B18" s="68">
        <f>6000*B15</f>
        <v>6000</v>
      </c>
      <c r="C18" s="68">
        <f>5000*C15</f>
        <v>20000</v>
      </c>
      <c r="D18" s="68">
        <f>4000*D15</f>
        <v>32000</v>
      </c>
      <c r="H18" s="61" t="s">
        <v>276</v>
      </c>
      <c r="I18" s="68">
        <f>I17+I15+I14</f>
        <v>65000</v>
      </c>
      <c r="J18" s="68">
        <f>J17+J15+J14</f>
        <v>80000</v>
      </c>
      <c r="K18" s="68">
        <f>K17+K16+K15+K14</f>
        <v>95000</v>
      </c>
    </row>
    <row r="19" spans="1:11" ht="28.8" x14ac:dyDescent="0.3">
      <c r="A19" s="62" t="s">
        <v>401</v>
      </c>
      <c r="B19" s="84">
        <v>700</v>
      </c>
      <c r="C19" s="84">
        <v>600</v>
      </c>
      <c r="D19" s="84">
        <v>500</v>
      </c>
    </row>
    <row r="20" spans="1:11" x14ac:dyDescent="0.3">
      <c r="A20" s="62" t="s">
        <v>402</v>
      </c>
      <c r="B20" s="41">
        <f>B19*B15</f>
        <v>700</v>
      </c>
      <c r="C20" s="41">
        <f>C19*C15</f>
        <v>2400</v>
      </c>
      <c r="D20" s="41">
        <f>D19*D15</f>
        <v>4000</v>
      </c>
    </row>
    <row r="21" spans="1:11" x14ac:dyDescent="0.3">
      <c r="A21" s="61" t="s">
        <v>403</v>
      </c>
      <c r="B21" s="67">
        <f>B20+B18+B16</f>
        <v>7700</v>
      </c>
      <c r="C21" s="67">
        <f>C20+C18+C16</f>
        <v>24600</v>
      </c>
      <c r="D21" s="67">
        <f>D20+D18+D16</f>
        <v>40000</v>
      </c>
    </row>
    <row r="22" spans="1:11" ht="43.2" x14ac:dyDescent="0.3">
      <c r="A22" s="65" t="s">
        <v>404</v>
      </c>
      <c r="B22" s="41">
        <v>26400</v>
      </c>
      <c r="C22" s="41">
        <v>23100</v>
      </c>
      <c r="D22" s="41">
        <v>20000</v>
      </c>
    </row>
    <row r="23" spans="1:11" x14ac:dyDescent="0.3">
      <c r="A23" s="66" t="s">
        <v>405</v>
      </c>
      <c r="B23" s="68">
        <f>B22*B15</f>
        <v>26400</v>
      </c>
      <c r="C23" s="68">
        <f t="shared" ref="C23:D23" si="2">C22*C15</f>
        <v>92400</v>
      </c>
      <c r="D23" s="68">
        <f t="shared" si="2"/>
        <v>160000</v>
      </c>
    </row>
    <row r="24" spans="1:11" ht="28.8" x14ac:dyDescent="0.3">
      <c r="A24" s="62" t="s">
        <v>406</v>
      </c>
      <c r="B24" s="67">
        <f>B23+B21</f>
        <v>34100</v>
      </c>
      <c r="C24" s="67">
        <f>C23+C21</f>
        <v>117000</v>
      </c>
      <c r="D24" s="67">
        <f>D23+D21</f>
        <v>200000</v>
      </c>
    </row>
    <row r="27" spans="1:11" ht="23.4" x14ac:dyDescent="0.45">
      <c r="A27" s="64" t="s">
        <v>182</v>
      </c>
      <c r="B27" s="61">
        <v>2026</v>
      </c>
      <c r="C27" s="61">
        <v>2027</v>
      </c>
      <c r="D27" s="61">
        <v>2028</v>
      </c>
    </row>
    <row r="28" spans="1:11" x14ac:dyDescent="0.3">
      <c r="A28" s="61" t="s">
        <v>264</v>
      </c>
      <c r="B28" s="5">
        <v>100</v>
      </c>
      <c r="C28" s="5">
        <v>500</v>
      </c>
      <c r="D28" s="5">
        <v>1000</v>
      </c>
    </row>
    <row r="29" spans="1:11" x14ac:dyDescent="0.3">
      <c r="A29" s="61" t="s">
        <v>225</v>
      </c>
      <c r="B29" s="41">
        <v>800</v>
      </c>
      <c r="C29" s="41">
        <v>830</v>
      </c>
      <c r="D29" s="41">
        <v>850</v>
      </c>
    </row>
    <row r="30" spans="1:11" x14ac:dyDescent="0.3">
      <c r="A30" s="61" t="s">
        <v>281</v>
      </c>
      <c r="B30" s="69">
        <v>0.04</v>
      </c>
      <c r="C30" s="69">
        <v>0.03</v>
      </c>
      <c r="D30" s="69">
        <v>0.02</v>
      </c>
    </row>
    <row r="31" spans="1:11" x14ac:dyDescent="0.3">
      <c r="A31" s="61" t="s">
        <v>182</v>
      </c>
      <c r="B31" s="5">
        <f>B28*B30</f>
        <v>4</v>
      </c>
      <c r="C31" s="5">
        <f t="shared" ref="C31:D31" si="3">C28*C30</f>
        <v>15</v>
      </c>
      <c r="D31" s="5">
        <f t="shared" si="3"/>
        <v>20</v>
      </c>
    </row>
    <row r="32" spans="1:11" x14ac:dyDescent="0.3">
      <c r="A32" s="61" t="s">
        <v>269</v>
      </c>
      <c r="B32" s="67">
        <f>B31*B29</f>
        <v>3200</v>
      </c>
      <c r="C32" s="67">
        <f t="shared" ref="C32:D32" si="4">C31*C29</f>
        <v>12450</v>
      </c>
      <c r="D32" s="67">
        <f t="shared" si="4"/>
        <v>17000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74912-A4D6-4E87-B88D-195BFE6689E5}">
  <dimension ref="A1:N21"/>
  <sheetViews>
    <sheetView topLeftCell="D4" zoomScale="97" workbookViewId="0">
      <selection activeCell="H9" sqref="H9"/>
    </sheetView>
  </sheetViews>
  <sheetFormatPr defaultRowHeight="14.4" x14ac:dyDescent="0.3"/>
  <cols>
    <col min="1" max="1" width="24.6640625" customWidth="1"/>
    <col min="2" max="2" width="36.5546875" customWidth="1"/>
    <col min="3" max="3" width="16.5546875" customWidth="1"/>
    <col min="4" max="4" width="17" bestFit="1" customWidth="1"/>
    <col min="11" max="11" width="20.5546875" customWidth="1"/>
    <col min="12" max="12" width="14.6640625" customWidth="1"/>
    <col min="13" max="14" width="13.21875" bestFit="1" customWidth="1"/>
  </cols>
  <sheetData>
    <row r="1" spans="1:14" ht="29.4" thickBot="1" x14ac:dyDescent="0.35">
      <c r="A1" s="1" t="s">
        <v>413</v>
      </c>
      <c r="B1" t="s">
        <v>414</v>
      </c>
      <c r="K1" s="1" t="s">
        <v>191</v>
      </c>
      <c r="L1" t="s">
        <v>416</v>
      </c>
    </row>
    <row r="3" spans="1:14" ht="23.4" x14ac:dyDescent="0.45">
      <c r="A3" s="85"/>
      <c r="B3" s="86">
        <v>2026</v>
      </c>
      <c r="C3" s="86">
        <v>2027</v>
      </c>
      <c r="D3" s="86">
        <v>2028</v>
      </c>
      <c r="K3" s="85" t="s">
        <v>415</v>
      </c>
      <c r="L3" s="86">
        <v>2026</v>
      </c>
      <c r="M3" s="86">
        <v>2027</v>
      </c>
      <c r="N3" s="86">
        <v>2028</v>
      </c>
    </row>
    <row r="4" spans="1:14" x14ac:dyDescent="0.3">
      <c r="A4" s="86" t="s">
        <v>189</v>
      </c>
      <c r="B4" s="71">
        <f>B5*B6</f>
        <v>80000</v>
      </c>
      <c r="C4" s="71">
        <f>C5*C6</f>
        <v>415000</v>
      </c>
      <c r="D4" s="71">
        <f>D5*D6</f>
        <v>850000</v>
      </c>
      <c r="K4" s="86" t="s">
        <v>417</v>
      </c>
      <c r="L4" s="71">
        <f>'Costi variabili e Costi fissi'!P6</f>
        <v>194200</v>
      </c>
      <c r="M4" s="71">
        <f>'Costi variabili e Costi fissi'!Q6</f>
        <v>424750</v>
      </c>
      <c r="N4" s="71">
        <f>'Costi variabili e Costi fissi'!R6</f>
        <v>689800</v>
      </c>
    </row>
    <row r="5" spans="1:14" x14ac:dyDescent="0.3">
      <c r="A5" s="86" t="s">
        <v>264</v>
      </c>
      <c r="B5" s="5">
        <v>100</v>
      </c>
      <c r="C5" s="5">
        <v>500</v>
      </c>
      <c r="D5" s="5">
        <v>1000</v>
      </c>
      <c r="K5" s="86" t="s">
        <v>191</v>
      </c>
      <c r="L5" s="71">
        <f>0.01*L4</f>
        <v>1942</v>
      </c>
      <c r="M5" s="71">
        <f t="shared" ref="M5:N5" si="0">0.01*M4</f>
        <v>4247.5</v>
      </c>
      <c r="N5" s="71">
        <f t="shared" si="0"/>
        <v>6898</v>
      </c>
    </row>
    <row r="6" spans="1:14" x14ac:dyDescent="0.3">
      <c r="A6" s="86" t="s">
        <v>274</v>
      </c>
      <c r="B6" s="41">
        <v>800</v>
      </c>
      <c r="C6" s="41">
        <v>830</v>
      </c>
      <c r="D6" s="41">
        <v>850</v>
      </c>
    </row>
    <row r="7" spans="1:14" x14ac:dyDescent="0.3">
      <c r="A7" s="86" t="s">
        <v>275</v>
      </c>
      <c r="B7" s="71">
        <f>0.02*B4</f>
        <v>1600</v>
      </c>
      <c r="C7" s="71">
        <f>0.008*C4</f>
        <v>3320</v>
      </c>
      <c r="D7" s="71">
        <f>0.005*D4</f>
        <v>4250</v>
      </c>
    </row>
    <row r="8" spans="1:14" x14ac:dyDescent="0.3">
      <c r="A8" s="86" t="s">
        <v>166</v>
      </c>
      <c r="B8" s="71">
        <f>0.03*B4</f>
        <v>2400</v>
      </c>
      <c r="C8" s="71">
        <f>0.015*C4</f>
        <v>6225</v>
      </c>
      <c r="D8" s="71">
        <f>0.01*D4</f>
        <v>8500</v>
      </c>
    </row>
    <row r="9" spans="1:14" x14ac:dyDescent="0.3">
      <c r="A9" s="86" t="s">
        <v>188</v>
      </c>
      <c r="B9" s="71">
        <f>0.1*B4</f>
        <v>8000</v>
      </c>
      <c r="C9" s="71">
        <f>0.08*C4</f>
        <v>33200</v>
      </c>
      <c r="D9" s="71">
        <f>0.05*D4</f>
        <v>42500</v>
      </c>
    </row>
    <row r="10" spans="1:14" x14ac:dyDescent="0.3">
      <c r="A10" s="86" t="s">
        <v>276</v>
      </c>
      <c r="B10" s="67">
        <f>B9+B8+B7</f>
        <v>12000</v>
      </c>
      <c r="C10" s="67">
        <f>C9+C8+C7</f>
        <v>42745</v>
      </c>
      <c r="D10" s="67">
        <f>D9+D8+D7</f>
        <v>55250</v>
      </c>
    </row>
    <row r="12" spans="1:14" ht="15" thickBot="1" x14ac:dyDescent="0.35"/>
    <row r="13" spans="1:14" ht="29.4" thickBot="1" x14ac:dyDescent="0.35">
      <c r="A13" s="87" t="s">
        <v>190</v>
      </c>
      <c r="K13" s="87" t="s">
        <v>192</v>
      </c>
      <c r="L13" t="s">
        <v>418</v>
      </c>
    </row>
    <row r="15" spans="1:14" ht="23.4" x14ac:dyDescent="0.45">
      <c r="A15" s="85" t="s">
        <v>419</v>
      </c>
      <c r="B15" s="86">
        <v>2026</v>
      </c>
      <c r="C15" s="86">
        <v>2027</v>
      </c>
      <c r="D15" s="86">
        <v>2028</v>
      </c>
      <c r="K15" s="85" t="s">
        <v>193</v>
      </c>
      <c r="L15" s="86">
        <v>2026</v>
      </c>
      <c r="M15" s="86">
        <v>2027</v>
      </c>
      <c r="N15" s="86">
        <v>2028</v>
      </c>
    </row>
    <row r="16" spans="1:14" x14ac:dyDescent="0.3">
      <c r="A16" s="86" t="s">
        <v>411</v>
      </c>
      <c r="B16" s="71">
        <f>'Costi variabili e Costi fissi'!P4</f>
        <v>80400</v>
      </c>
      <c r="C16" s="71">
        <f>'Costi variabili e Costi fissi'!Q4</f>
        <v>323350</v>
      </c>
      <c r="D16" s="71">
        <f>'Costi variabili e Costi fissi'!R4</f>
        <v>565200</v>
      </c>
      <c r="K16" s="86" t="s">
        <v>175</v>
      </c>
      <c r="L16" s="71">
        <f>0.005*B21</f>
        <v>853</v>
      </c>
      <c r="M16" s="71">
        <f>0.005*C21</f>
        <v>2302.4749999999999</v>
      </c>
      <c r="N16" s="71">
        <f>0.005*D21</f>
        <v>3685.25</v>
      </c>
    </row>
    <row r="17" spans="1:14" x14ac:dyDescent="0.3">
      <c r="A17" s="86" t="s">
        <v>420</v>
      </c>
      <c r="B17" s="71">
        <f>'Costi variabili e Costi fissi'!I4+'Costi variabili e Costi fissi'!I18</f>
        <v>78200</v>
      </c>
      <c r="C17" s="71">
        <f>'Costi variabili e Costi fissi'!J4+'Costi variabili e Costi fissi'!J18</f>
        <v>94400</v>
      </c>
      <c r="D17" s="71">
        <f>'Costi variabili e Costi fissi'!K4+'Costi variabili e Costi fissi'!K18</f>
        <v>116600</v>
      </c>
      <c r="K17" s="86" t="s">
        <v>236</v>
      </c>
      <c r="L17" s="71">
        <f>0.003*B21</f>
        <v>511.8</v>
      </c>
      <c r="M17" s="71">
        <f>0.003*C21</f>
        <v>1381.4850000000001</v>
      </c>
      <c r="N17" s="71">
        <f>0.003*D21</f>
        <v>2211.15</v>
      </c>
    </row>
    <row r="18" spans="1:14" x14ac:dyDescent="0.3">
      <c r="A18" s="86" t="s">
        <v>275</v>
      </c>
      <c r="B18" s="71">
        <f t="shared" ref="B18:D20" si="1">B7</f>
        <v>1600</v>
      </c>
      <c r="C18" s="71">
        <f t="shared" si="1"/>
        <v>3320</v>
      </c>
      <c r="D18" s="71">
        <f t="shared" si="1"/>
        <v>4250</v>
      </c>
      <c r="K18" s="86" t="s">
        <v>276</v>
      </c>
      <c r="L18" s="71">
        <f>L16+L17</f>
        <v>1364.8</v>
      </c>
      <c r="M18" s="71">
        <f t="shared" ref="M18:N18" si="2">M16+M17</f>
        <v>3683.96</v>
      </c>
      <c r="N18" s="71">
        <f t="shared" si="2"/>
        <v>5896.4</v>
      </c>
    </row>
    <row r="19" spans="1:14" x14ac:dyDescent="0.3">
      <c r="A19" s="86" t="s">
        <v>166</v>
      </c>
      <c r="B19" s="71">
        <f t="shared" si="1"/>
        <v>2400</v>
      </c>
      <c r="C19" s="71">
        <f>C8</f>
        <v>6225</v>
      </c>
      <c r="D19" s="71">
        <f t="shared" si="1"/>
        <v>8500</v>
      </c>
    </row>
    <row r="20" spans="1:14" x14ac:dyDescent="0.3">
      <c r="A20" s="86" t="s">
        <v>188</v>
      </c>
      <c r="B20" s="71">
        <f>B9</f>
        <v>8000</v>
      </c>
      <c r="C20" s="71">
        <f>C9</f>
        <v>33200</v>
      </c>
      <c r="D20" s="71">
        <f t="shared" si="1"/>
        <v>42500</v>
      </c>
    </row>
    <row r="21" spans="1:14" x14ac:dyDescent="0.3">
      <c r="A21" s="86" t="s">
        <v>421</v>
      </c>
      <c r="B21" s="67">
        <f>SUM(B16:B20)</f>
        <v>170600</v>
      </c>
      <c r="C21" s="67">
        <f>SUM(C16:C20)</f>
        <v>460495</v>
      </c>
      <c r="D21" s="67">
        <f>SUM(D16:D20)</f>
        <v>737050</v>
      </c>
      <c r="K21" s="86" t="s">
        <v>276</v>
      </c>
      <c r="L21" s="71">
        <f>L18+L5</f>
        <v>3306.8</v>
      </c>
      <c r="M21" s="71">
        <f t="shared" ref="M21:N21" si="3">M18+M5</f>
        <v>7931.46</v>
      </c>
      <c r="N21" s="71">
        <f t="shared" si="3"/>
        <v>12794.4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AEA0C-95BD-4590-9152-5CBEC0CCF886}">
  <dimension ref="A1:Z41"/>
  <sheetViews>
    <sheetView topLeftCell="A19" zoomScale="94" zoomScaleNormal="133" workbookViewId="0">
      <selection activeCell="D5" sqref="D5"/>
    </sheetView>
  </sheetViews>
  <sheetFormatPr defaultRowHeight="14.4" x14ac:dyDescent="0.3"/>
  <cols>
    <col min="1" max="1" width="32.109375" customWidth="1"/>
    <col min="2" max="2" width="13.21875" customWidth="1"/>
    <col min="3" max="3" width="14.6640625" customWidth="1"/>
    <col min="4" max="4" width="18.5546875" customWidth="1"/>
    <col min="5" max="5" width="11.88671875" customWidth="1"/>
    <col min="9" max="9" width="12.6640625" customWidth="1"/>
    <col min="10" max="10" width="18.21875" customWidth="1"/>
    <col min="11" max="11" width="13.77734375" customWidth="1"/>
    <col min="12" max="12" width="16.33203125" customWidth="1"/>
  </cols>
  <sheetData>
    <row r="1" spans="1:26" ht="15" thickBot="1" x14ac:dyDescent="0.35">
      <c r="A1" s="87" t="s">
        <v>195</v>
      </c>
    </row>
    <row r="2" spans="1:26" ht="15" thickBot="1" x14ac:dyDescent="0.35"/>
    <row r="3" spans="1:26" ht="15" thickBot="1" x14ac:dyDescent="0.35">
      <c r="B3" s="197" t="s">
        <v>283</v>
      </c>
      <c r="C3" s="198"/>
      <c r="D3" s="199"/>
      <c r="E3" s="197" t="s">
        <v>282</v>
      </c>
      <c r="F3" s="198"/>
      <c r="G3" s="199"/>
    </row>
    <row r="4" spans="1:26" ht="24" thickBot="1" x14ac:dyDescent="0.5">
      <c r="A4" s="121" t="s">
        <v>226</v>
      </c>
      <c r="B4" s="122">
        <v>2026</v>
      </c>
      <c r="C4" s="123">
        <v>2027</v>
      </c>
      <c r="D4" s="124">
        <v>2028</v>
      </c>
      <c r="E4" s="125">
        <v>2026</v>
      </c>
      <c r="F4" s="123">
        <v>2027</v>
      </c>
      <c r="G4" s="124">
        <v>2028</v>
      </c>
      <c r="J4" s="125">
        <v>2026</v>
      </c>
      <c r="K4" s="123">
        <v>2027</v>
      </c>
      <c r="L4" s="124">
        <v>2028</v>
      </c>
    </row>
    <row r="5" spans="1:26" x14ac:dyDescent="0.3">
      <c r="A5" s="117" t="s">
        <v>189</v>
      </c>
      <c r="B5" s="81">
        <f>B6*B7</f>
        <v>80000</v>
      </c>
      <c r="C5" s="82">
        <f t="shared" ref="C5:D5" si="0">C6*C7</f>
        <v>415000</v>
      </c>
      <c r="D5" s="83">
        <f t="shared" si="0"/>
        <v>850000</v>
      </c>
      <c r="E5" s="118">
        <f>B5/B5</f>
        <v>1</v>
      </c>
      <c r="F5" s="119">
        <f>C5/C5</f>
        <v>1</v>
      </c>
      <c r="G5" s="120">
        <f>D5/D5</f>
        <v>1</v>
      </c>
      <c r="I5" s="185" t="s">
        <v>189</v>
      </c>
      <c r="J5" s="76">
        <f>B5</f>
        <v>80000</v>
      </c>
      <c r="K5" s="76">
        <f t="shared" ref="K5:L5" si="1">C5</f>
        <v>415000</v>
      </c>
      <c r="L5" s="186">
        <f t="shared" si="1"/>
        <v>850000</v>
      </c>
    </row>
    <row r="6" spans="1:26" x14ac:dyDescent="0.3">
      <c r="A6" s="132" t="s">
        <v>225</v>
      </c>
      <c r="B6" s="113">
        <v>800</v>
      </c>
      <c r="C6" s="71">
        <v>830</v>
      </c>
      <c r="D6" s="111">
        <v>850</v>
      </c>
      <c r="E6" s="107" t="s">
        <v>187</v>
      </c>
      <c r="F6" s="69" t="s">
        <v>187</v>
      </c>
      <c r="G6" s="108" t="s">
        <v>187</v>
      </c>
      <c r="I6" s="115" t="s">
        <v>207</v>
      </c>
      <c r="J6" s="92">
        <f>B16</f>
        <v>209506.8</v>
      </c>
      <c r="K6" s="92">
        <f t="shared" ref="K6:L6" si="2">C16</f>
        <v>475426.45999999996</v>
      </c>
      <c r="L6" s="187">
        <f t="shared" si="2"/>
        <v>757844.4</v>
      </c>
    </row>
    <row r="7" spans="1:26" ht="15" thickBot="1" x14ac:dyDescent="0.35">
      <c r="A7" s="132" t="s">
        <v>197</v>
      </c>
      <c r="B7" s="114">
        <v>100</v>
      </c>
      <c r="C7" s="5">
        <v>500</v>
      </c>
      <c r="D7" s="112">
        <v>1000</v>
      </c>
      <c r="E7" s="107" t="s">
        <v>187</v>
      </c>
      <c r="F7" s="69" t="s">
        <v>187</v>
      </c>
      <c r="G7" s="108" t="s">
        <v>187</v>
      </c>
      <c r="I7" s="116" t="s">
        <v>208</v>
      </c>
      <c r="J7" s="77">
        <f>B17</f>
        <v>-129506.79999999999</v>
      </c>
      <c r="K7" s="77">
        <f t="shared" ref="K7:L7" si="3">C17</f>
        <v>-60426.459999999963</v>
      </c>
      <c r="L7" s="188">
        <f t="shared" si="3"/>
        <v>92155.599999999977</v>
      </c>
    </row>
    <row r="8" spans="1:26" x14ac:dyDescent="0.3">
      <c r="A8" s="115" t="s">
        <v>198</v>
      </c>
      <c r="B8" s="92">
        <f>'Costi variabili e Costi fissi'!P4</f>
        <v>80400</v>
      </c>
      <c r="C8" s="67">
        <f>'Costi variabili e Costi fissi'!Q4</f>
        <v>323350</v>
      </c>
      <c r="D8" s="91">
        <f>'Costi variabili e Costi fissi'!R4</f>
        <v>565200</v>
      </c>
      <c r="E8" s="129">
        <f>B8/B5</f>
        <v>1.0049999999999999</v>
      </c>
      <c r="F8" s="130">
        <f>C8/C5</f>
        <v>0.77915662650602413</v>
      </c>
      <c r="G8" s="131">
        <f>D8/D5</f>
        <v>0.66494117647058826</v>
      </c>
    </row>
    <row r="9" spans="1:26" x14ac:dyDescent="0.3">
      <c r="A9" s="115" t="s">
        <v>199</v>
      </c>
      <c r="B9" s="92">
        <f>B5-B8</f>
        <v>-400</v>
      </c>
      <c r="C9" s="67">
        <f>C5-C8</f>
        <v>91650</v>
      </c>
      <c r="D9" s="91">
        <f>D5-D8</f>
        <v>284800</v>
      </c>
      <c r="E9" s="129">
        <f>B9/B5</f>
        <v>-5.0000000000000001E-3</v>
      </c>
      <c r="F9" s="129">
        <f t="shared" ref="F9" si="4">C9/C5</f>
        <v>0.2208433734939759</v>
      </c>
      <c r="G9" s="129">
        <f>D9/D5</f>
        <v>0.33505882352941174</v>
      </c>
    </row>
    <row r="10" spans="1:26" x14ac:dyDescent="0.3">
      <c r="A10" s="132" t="s">
        <v>201</v>
      </c>
      <c r="B10" s="113">
        <f>'Costi variabili e Costi fissi'!I18</f>
        <v>65000</v>
      </c>
      <c r="C10" s="71">
        <f>'Costi variabili e Costi fissi'!J18</f>
        <v>80000</v>
      </c>
      <c r="D10" s="111">
        <f>'Costi variabili e Costi fissi'!K18</f>
        <v>95000</v>
      </c>
      <c r="E10" s="107">
        <f>B10/B5</f>
        <v>0.8125</v>
      </c>
      <c r="F10" s="69">
        <f t="shared" ref="F10:G10" si="5">C10/C5</f>
        <v>0.19277108433734941</v>
      </c>
      <c r="G10" s="108">
        <f t="shared" si="5"/>
        <v>0.11176470588235295</v>
      </c>
      <c r="Z10" t="s">
        <v>424</v>
      </c>
    </row>
    <row r="11" spans="1:26" x14ac:dyDescent="0.3">
      <c r="A11" s="132" t="s">
        <v>202</v>
      </c>
      <c r="B11" s="113">
        <f>'OPEX e altri costi'!B10</f>
        <v>12000</v>
      </c>
      <c r="C11" s="71">
        <f>'OPEX e altri costi'!C10</f>
        <v>42745</v>
      </c>
      <c r="D11" s="111">
        <f>'OPEX e altri costi'!D10</f>
        <v>55250</v>
      </c>
      <c r="E11" s="107">
        <f>B11/B5</f>
        <v>0.15</v>
      </c>
      <c r="F11" s="69">
        <f t="shared" ref="F11:G11" si="6">C11/C5</f>
        <v>0.10299999999999999</v>
      </c>
      <c r="G11" s="108">
        <f t="shared" si="6"/>
        <v>6.5000000000000002E-2</v>
      </c>
    </row>
    <row r="12" spans="1:26" x14ac:dyDescent="0.3">
      <c r="A12" s="132" t="s">
        <v>203</v>
      </c>
      <c r="B12" s="113">
        <f>'Costi variabili e Costi fissi'!I5</f>
        <v>5000</v>
      </c>
      <c r="C12" s="71">
        <f>'Costi variabili e Costi fissi'!J5</f>
        <v>7000</v>
      </c>
      <c r="D12" s="111">
        <f>'Costi variabili e Costi fissi'!K5</f>
        <v>8000</v>
      </c>
      <c r="E12" s="107">
        <f>B12/B5</f>
        <v>6.25E-2</v>
      </c>
      <c r="F12" s="69">
        <f t="shared" ref="F12:G12" si="7">C12/C5</f>
        <v>1.6867469879518072E-2</v>
      </c>
      <c r="G12" s="108">
        <f t="shared" si="7"/>
        <v>9.4117647058823521E-3</v>
      </c>
    </row>
    <row r="13" spans="1:26" x14ac:dyDescent="0.3">
      <c r="A13" s="132" t="s">
        <v>205</v>
      </c>
      <c r="B13" s="113">
        <f>'Costi variabili e Costi fissi'!I4</f>
        <v>13200</v>
      </c>
      <c r="C13" s="71">
        <f>'Costi variabili e Costi fissi'!J4</f>
        <v>14400</v>
      </c>
      <c r="D13" s="111">
        <f>'Costi variabili e Costi fissi'!K4</f>
        <v>21600</v>
      </c>
      <c r="E13" s="107">
        <f>B13/B5</f>
        <v>0.16500000000000001</v>
      </c>
      <c r="F13" s="69">
        <f t="shared" ref="F13:G13" si="8">C13/C5</f>
        <v>3.4698795180722893E-2</v>
      </c>
      <c r="G13" s="108">
        <f t="shared" si="8"/>
        <v>2.5411764705882352E-2</v>
      </c>
    </row>
    <row r="14" spans="1:26" x14ac:dyDescent="0.3">
      <c r="A14" s="132" t="s">
        <v>206</v>
      </c>
      <c r="B14" s="113">
        <f>'OPEX e altri costi'!L5+'OPEX e altri costi'!L18+'Costi variabili e Costi fissi'!I6+'Costi variabili e Costi fissi'!I7+'Costi variabili e Costi fissi'!I8</f>
        <v>33906.800000000003</v>
      </c>
      <c r="C14" s="71">
        <f>'OPEX e altri costi'!M5+'OPEX e altri costi'!M18</f>
        <v>7931.46</v>
      </c>
      <c r="D14" s="111">
        <f>'OPEX e altri costi'!N5+'OPEX e altri costi'!N18</f>
        <v>12794.4</v>
      </c>
      <c r="E14" s="107">
        <f>B14/B5</f>
        <v>0.42383500000000002</v>
      </c>
      <c r="F14" s="69">
        <f t="shared" ref="F14:G14" si="9">C14/C5</f>
        <v>1.9111951807228914E-2</v>
      </c>
      <c r="G14" s="108">
        <f t="shared" si="9"/>
        <v>1.5052235294117646E-2</v>
      </c>
    </row>
    <row r="15" spans="1:26" x14ac:dyDescent="0.3">
      <c r="A15" s="115" t="s">
        <v>200</v>
      </c>
      <c r="B15" s="92">
        <f>SUM(B10:B14)</f>
        <v>129106.8</v>
      </c>
      <c r="C15" s="67">
        <f>SUM(C10:C14)</f>
        <v>152076.46</v>
      </c>
      <c r="D15" s="91">
        <f>SUM(D10:D14)</f>
        <v>192644.4</v>
      </c>
      <c r="E15" s="129">
        <f>B15/B5</f>
        <v>1.6138350000000001</v>
      </c>
      <c r="F15" s="130">
        <f t="shared" ref="F15:G15" si="10">C15/C5</f>
        <v>0.36644930120481928</v>
      </c>
      <c r="G15" s="131">
        <f t="shared" si="10"/>
        <v>0.22664047058823528</v>
      </c>
    </row>
    <row r="16" spans="1:26" x14ac:dyDescent="0.3">
      <c r="A16" s="115" t="s">
        <v>207</v>
      </c>
      <c r="B16" s="92">
        <f>B8+B15</f>
        <v>209506.8</v>
      </c>
      <c r="C16" s="67">
        <f t="shared" ref="C16" si="11">C8+C15</f>
        <v>475426.45999999996</v>
      </c>
      <c r="D16" s="91">
        <f>D8+D15</f>
        <v>757844.4</v>
      </c>
      <c r="E16" s="129">
        <f>B16/B5</f>
        <v>2.6188349999999998</v>
      </c>
      <c r="F16" s="130">
        <f t="shared" ref="F16:G16" si="12">C16/C5</f>
        <v>1.1456059277108432</v>
      </c>
      <c r="G16" s="131">
        <f t="shared" si="12"/>
        <v>0.89158164705882359</v>
      </c>
    </row>
    <row r="17" spans="1:7" ht="15" thickBot="1" x14ac:dyDescent="0.35">
      <c r="A17" s="116" t="s">
        <v>208</v>
      </c>
      <c r="B17" s="77">
        <f>B5-B16</f>
        <v>-129506.79999999999</v>
      </c>
      <c r="C17" s="74">
        <f>C5-C16</f>
        <v>-60426.459999999963</v>
      </c>
      <c r="D17" s="75">
        <f>D5-D16</f>
        <v>92155.599999999977</v>
      </c>
      <c r="E17" s="126">
        <f>B17/B5</f>
        <v>-1.6188349999999998</v>
      </c>
      <c r="F17" s="127">
        <f t="shared" ref="F17:G17" si="13">C17/C5</f>
        <v>-0.1456059277108433</v>
      </c>
      <c r="G17" s="128">
        <f t="shared" si="13"/>
        <v>0.10841835294117644</v>
      </c>
    </row>
    <row r="19" spans="1:7" ht="15" thickBot="1" x14ac:dyDescent="0.35"/>
    <row r="20" spans="1:7" ht="15" thickBot="1" x14ac:dyDescent="0.35">
      <c r="A20" s="87" t="s">
        <v>240</v>
      </c>
    </row>
    <row r="21" spans="1:7" ht="15" thickBot="1" x14ac:dyDescent="0.35"/>
    <row r="22" spans="1:7" s="80" customFormat="1" ht="47.4" thickBot="1" x14ac:dyDescent="0.5">
      <c r="A22" s="134" t="s">
        <v>239</v>
      </c>
      <c r="B22" s="135">
        <v>2026</v>
      </c>
      <c r="C22" s="136">
        <v>2027</v>
      </c>
      <c r="D22" s="137">
        <v>2028</v>
      </c>
      <c r="E22"/>
      <c r="F22"/>
      <c r="G22"/>
    </row>
    <row r="23" spans="1:7" x14ac:dyDescent="0.3">
      <c r="A23" s="138" t="s">
        <v>196</v>
      </c>
      <c r="B23" s="81">
        <f>B5</f>
        <v>80000</v>
      </c>
      <c r="C23" s="82">
        <f>C5</f>
        <v>415000</v>
      </c>
      <c r="D23" s="83">
        <f>D5</f>
        <v>850000</v>
      </c>
      <c r="E23" s="80"/>
      <c r="F23" s="80"/>
      <c r="G23" s="80"/>
    </row>
    <row r="24" spans="1:7" x14ac:dyDescent="0.3">
      <c r="A24" s="139" t="s">
        <v>227</v>
      </c>
      <c r="B24" s="113">
        <f>'Costi variabili e Costi fissi'!B10</f>
        <v>43100</v>
      </c>
      <c r="C24" s="71">
        <f>'Costi variabili e Costi fissi'!C10</f>
        <v>193900</v>
      </c>
      <c r="D24" s="111">
        <f>'Costi variabili e Costi fissi'!D10</f>
        <v>348200</v>
      </c>
    </row>
    <row r="25" spans="1:7" x14ac:dyDescent="0.3">
      <c r="A25" s="139" t="s">
        <v>228</v>
      </c>
      <c r="B25" s="113">
        <f>'Costi variabili e Costi fissi'!B21</f>
        <v>7700</v>
      </c>
      <c r="C25" s="71">
        <f>'Costi variabili e Costi fissi'!C21</f>
        <v>24600</v>
      </c>
      <c r="D25" s="111">
        <f>'Costi variabili e Costi fissi'!D21</f>
        <v>40000</v>
      </c>
    </row>
    <row r="26" spans="1:7" x14ac:dyDescent="0.3">
      <c r="A26" s="139" t="s">
        <v>229</v>
      </c>
      <c r="B26" s="113">
        <f>'Costi variabili e Costi fissi'!B23</f>
        <v>26400</v>
      </c>
      <c r="C26" s="71">
        <f>'Costi variabili e Costi fissi'!C23</f>
        <v>92400</v>
      </c>
      <c r="D26" s="111">
        <f>'Costi variabili e Costi fissi'!D23</f>
        <v>160000</v>
      </c>
    </row>
    <row r="27" spans="1:7" s="80" customFormat="1" x14ac:dyDescent="0.3">
      <c r="A27" s="139" t="s">
        <v>182</v>
      </c>
      <c r="B27" s="113">
        <f>'Costi variabili e Costi fissi'!B32</f>
        <v>3200</v>
      </c>
      <c r="C27" s="71">
        <f>'Costi variabili e Costi fissi'!C32</f>
        <v>12450</v>
      </c>
      <c r="D27" s="111">
        <f>'Costi variabili e Costi fissi'!D32</f>
        <v>17000</v>
      </c>
      <c r="E27"/>
      <c r="F27"/>
      <c r="G27"/>
    </row>
    <row r="28" spans="1:7" s="80" customFormat="1" x14ac:dyDescent="0.3">
      <c r="A28" s="140" t="s">
        <v>230</v>
      </c>
      <c r="B28" s="92">
        <f>SUM(B24:B27)</f>
        <v>80400</v>
      </c>
      <c r="C28" s="67">
        <f>SUM(C24:C27)</f>
        <v>323350</v>
      </c>
      <c r="D28" s="91">
        <f>SUM(D24:D27)</f>
        <v>565200</v>
      </c>
    </row>
    <row r="29" spans="1:7" x14ac:dyDescent="0.3">
      <c r="A29" s="140" t="s">
        <v>199</v>
      </c>
      <c r="B29" s="92">
        <f>B23-B28</f>
        <v>-400</v>
      </c>
      <c r="C29" s="67">
        <f>C23-C28</f>
        <v>91650</v>
      </c>
      <c r="D29" s="91">
        <f>D23-D28</f>
        <v>284800</v>
      </c>
      <c r="E29" s="80"/>
      <c r="F29" s="80"/>
      <c r="G29" s="80"/>
    </row>
    <row r="30" spans="1:7" x14ac:dyDescent="0.3">
      <c r="A30" s="139" t="s">
        <v>231</v>
      </c>
      <c r="B30" s="113">
        <f>'Costi variabili e Costi fissi'!I4</f>
        <v>13200</v>
      </c>
      <c r="C30" s="71">
        <f>'Costi variabili e Costi fissi'!J4</f>
        <v>14400</v>
      </c>
      <c r="D30" s="111">
        <f>'Costi variabili e Costi fissi'!K4</f>
        <v>21600</v>
      </c>
    </row>
    <row r="31" spans="1:7" x14ac:dyDescent="0.3">
      <c r="A31" s="139" t="s">
        <v>204</v>
      </c>
      <c r="B31" s="113">
        <f>'Costi variabili e Costi fissi'!I5</f>
        <v>5000</v>
      </c>
      <c r="C31" s="71">
        <f>'Costi variabili e Costi fissi'!J5</f>
        <v>7000</v>
      </c>
      <c r="D31" s="111">
        <f>'Costi variabili e Costi fissi'!K5</f>
        <v>8000</v>
      </c>
    </row>
    <row r="32" spans="1:7" x14ac:dyDescent="0.3">
      <c r="A32" s="139" t="s">
        <v>232</v>
      </c>
      <c r="B32" s="113">
        <f>'Costi variabili e Costi fissi'!I6+'Costi variabili e Costi fissi'!I7+'Costi variabili e Costi fissi'!I8</f>
        <v>30600</v>
      </c>
      <c r="C32" s="5" t="s">
        <v>187</v>
      </c>
      <c r="D32" s="112" t="s">
        <v>187</v>
      </c>
    </row>
    <row r="33" spans="1:7" x14ac:dyDescent="0.3">
      <c r="A33" s="139" t="s">
        <v>233</v>
      </c>
      <c r="B33" s="113">
        <f>'Costi variabili e Costi fissi'!I18</f>
        <v>65000</v>
      </c>
      <c r="C33" s="71">
        <f>'Costi variabili e Costi fissi'!J18</f>
        <v>80000</v>
      </c>
      <c r="D33" s="111">
        <f>'Costi variabili e Costi fissi'!K18</f>
        <v>95000</v>
      </c>
    </row>
    <row r="34" spans="1:7" x14ac:dyDescent="0.3">
      <c r="A34" s="139" t="s">
        <v>234</v>
      </c>
      <c r="B34" s="113">
        <f>'OPEX e altri costi'!B7+'OPEX e altri costi'!B8</f>
        <v>4000</v>
      </c>
      <c r="C34" s="71">
        <f>'OPEX e altri costi'!C7+'OPEX e altri costi'!C8</f>
        <v>9545</v>
      </c>
      <c r="D34" s="111">
        <f>'OPEX e altri costi'!D7+'OPEX e altri costi'!D8</f>
        <v>12750</v>
      </c>
    </row>
    <row r="35" spans="1:7" x14ac:dyDescent="0.3">
      <c r="A35" s="139" t="s">
        <v>235</v>
      </c>
      <c r="B35" s="113">
        <f>'OPEX e altri costi'!B9</f>
        <v>8000</v>
      </c>
      <c r="C35" s="71">
        <f>'OPEX e altri costi'!C9</f>
        <v>33200</v>
      </c>
      <c r="D35" s="111">
        <f>'OPEX e altri costi'!D9</f>
        <v>42500</v>
      </c>
    </row>
    <row r="36" spans="1:7" x14ac:dyDescent="0.3">
      <c r="A36" s="139" t="s">
        <v>191</v>
      </c>
      <c r="B36" s="113">
        <f>'OPEX e altri costi'!L5</f>
        <v>1942</v>
      </c>
      <c r="C36" s="71">
        <f>'OPEX e altri costi'!M5</f>
        <v>4247.5</v>
      </c>
      <c r="D36" s="111">
        <f>'OPEX e altri costi'!N5</f>
        <v>6898</v>
      </c>
    </row>
    <row r="37" spans="1:7" x14ac:dyDescent="0.3">
      <c r="A37" s="139" t="s">
        <v>175</v>
      </c>
      <c r="B37" s="113">
        <f>'OPEX e altri costi'!L16</f>
        <v>853</v>
      </c>
      <c r="C37" s="71">
        <f>'OPEX e altri costi'!M16</f>
        <v>2302.4749999999999</v>
      </c>
      <c r="D37" s="111">
        <f>'OPEX e altri costi'!N16</f>
        <v>3685.25</v>
      </c>
    </row>
    <row r="38" spans="1:7" s="80" customFormat="1" x14ac:dyDescent="0.3">
      <c r="A38" s="139" t="s">
        <v>236</v>
      </c>
      <c r="B38" s="113">
        <f>'OPEX e altri costi'!L17</f>
        <v>511.8</v>
      </c>
      <c r="C38" s="71">
        <f>'OPEX e altri costi'!M17</f>
        <v>1381.4850000000001</v>
      </c>
      <c r="D38" s="111">
        <f>'OPEX e altri costi'!N17</f>
        <v>2211.15</v>
      </c>
      <c r="E38"/>
      <c r="F38"/>
      <c r="G38"/>
    </row>
    <row r="39" spans="1:7" s="80" customFormat="1" x14ac:dyDescent="0.3">
      <c r="A39" s="140" t="s">
        <v>237</v>
      </c>
      <c r="B39" s="92">
        <f>SUM(B30:B38)</f>
        <v>129106.8</v>
      </c>
      <c r="C39" s="67">
        <f t="shared" ref="C39:D39" si="14">SUM(C30:C38)</f>
        <v>152076.46</v>
      </c>
      <c r="D39" s="91">
        <f t="shared" si="14"/>
        <v>192644.4</v>
      </c>
    </row>
    <row r="40" spans="1:7" x14ac:dyDescent="0.3">
      <c r="A40" s="140" t="s">
        <v>238</v>
      </c>
      <c r="B40" s="92">
        <f>B29-B39</f>
        <v>-129506.8</v>
      </c>
      <c r="C40" s="67">
        <f>C29-C39</f>
        <v>-60426.459999999992</v>
      </c>
      <c r="D40" s="91">
        <f>D29-D39</f>
        <v>92155.6</v>
      </c>
      <c r="E40" s="80"/>
      <c r="F40" s="80"/>
      <c r="G40" s="80"/>
    </row>
    <row r="41" spans="1:7" ht="15" thickBot="1" x14ac:dyDescent="0.35">
      <c r="A41" s="141" t="s">
        <v>241</v>
      </c>
      <c r="B41" s="133">
        <f>B40/B23</f>
        <v>-1.618835</v>
      </c>
      <c r="C41" s="109">
        <f t="shared" ref="C41:D41" si="15">C40/C23</f>
        <v>-0.14560592771084335</v>
      </c>
      <c r="D41" s="110">
        <f t="shared" si="15"/>
        <v>0.10841835294117648</v>
      </c>
    </row>
  </sheetData>
  <mergeCells count="2">
    <mergeCell ref="E3:G3"/>
    <mergeCell ref="B3:D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C052B-8C71-4EE6-9B9E-E652F83035E6}">
  <dimension ref="A1:M71"/>
  <sheetViews>
    <sheetView tabSelected="1" topLeftCell="I47" zoomScale="85" workbookViewId="0">
      <selection activeCell="AD63" sqref="AD63"/>
    </sheetView>
  </sheetViews>
  <sheetFormatPr defaultRowHeight="14.4" x14ac:dyDescent="0.3"/>
  <cols>
    <col min="1" max="1" width="18.109375" customWidth="1"/>
    <col min="2" max="2" width="15.77734375" bestFit="1" customWidth="1"/>
    <col min="3" max="13" width="15" bestFit="1" customWidth="1"/>
  </cols>
  <sheetData>
    <row r="1" spans="1:13" ht="29.4" thickBot="1" x14ac:dyDescent="0.35">
      <c r="A1" s="87" t="s">
        <v>242</v>
      </c>
    </row>
    <row r="3" spans="1:13" ht="15" thickBot="1" x14ac:dyDescent="0.35"/>
    <row r="4" spans="1:13" x14ac:dyDescent="0.3">
      <c r="B4" s="200">
        <v>2026</v>
      </c>
      <c r="C4" s="201"/>
      <c r="D4" s="201"/>
      <c r="E4" s="202"/>
      <c r="F4" s="200">
        <v>2027</v>
      </c>
      <c r="G4" s="201"/>
      <c r="H4" s="201"/>
      <c r="I4" s="203"/>
      <c r="J4" s="200">
        <v>2028</v>
      </c>
      <c r="K4" s="201"/>
      <c r="L4" s="201"/>
      <c r="M4" s="202"/>
    </row>
    <row r="5" spans="1:13" x14ac:dyDescent="0.3">
      <c r="B5" s="152" t="s">
        <v>243</v>
      </c>
      <c r="C5" s="142" t="s">
        <v>244</v>
      </c>
      <c r="D5" s="142" t="s">
        <v>245</v>
      </c>
      <c r="E5" s="153" t="s">
        <v>246</v>
      </c>
      <c r="F5" s="152" t="s">
        <v>243</v>
      </c>
      <c r="G5" s="142" t="s">
        <v>244</v>
      </c>
      <c r="H5" s="142" t="s">
        <v>245</v>
      </c>
      <c r="I5" s="173" t="s">
        <v>246</v>
      </c>
      <c r="J5" s="152" t="s">
        <v>243</v>
      </c>
      <c r="K5" s="142" t="s">
        <v>244</v>
      </c>
      <c r="L5" s="142" t="s">
        <v>245</v>
      </c>
      <c r="M5" s="153" t="s">
        <v>246</v>
      </c>
    </row>
    <row r="6" spans="1:13" x14ac:dyDescent="0.3">
      <c r="A6" s="144" t="s">
        <v>247</v>
      </c>
      <c r="B6" s="154"/>
      <c r="C6" s="143"/>
      <c r="D6" s="143"/>
      <c r="E6" s="155"/>
      <c r="F6" s="154"/>
      <c r="G6" s="143"/>
      <c r="H6" s="143"/>
      <c r="I6" s="149"/>
      <c r="J6" s="154"/>
      <c r="K6" s="143"/>
      <c r="L6" s="143"/>
      <c r="M6" s="155"/>
    </row>
    <row r="7" spans="1:13" x14ac:dyDescent="0.3">
      <c r="A7" s="145" t="s">
        <v>264</v>
      </c>
      <c r="B7" s="156">
        <v>0</v>
      </c>
      <c r="C7" s="5">
        <v>20</v>
      </c>
      <c r="D7" s="5">
        <v>30</v>
      </c>
      <c r="E7" s="112">
        <v>50</v>
      </c>
      <c r="F7" s="156">
        <v>80</v>
      </c>
      <c r="G7" s="5">
        <v>100</v>
      </c>
      <c r="H7" s="5">
        <v>140</v>
      </c>
      <c r="I7" s="145">
        <v>180</v>
      </c>
      <c r="J7" s="156">
        <v>200</v>
      </c>
      <c r="K7" s="5">
        <v>230</v>
      </c>
      <c r="L7" s="5">
        <v>270</v>
      </c>
      <c r="M7" s="112">
        <v>300</v>
      </c>
    </row>
    <row r="8" spans="1:13" x14ac:dyDescent="0.3">
      <c r="A8" s="145" t="s">
        <v>225</v>
      </c>
      <c r="B8" s="157">
        <v>800</v>
      </c>
      <c r="C8" s="41">
        <v>800</v>
      </c>
      <c r="D8" s="41">
        <v>800</v>
      </c>
      <c r="E8" s="158">
        <v>800</v>
      </c>
      <c r="F8" s="174">
        <v>830</v>
      </c>
      <c r="G8" s="41">
        <v>830</v>
      </c>
      <c r="H8" s="41">
        <v>830</v>
      </c>
      <c r="I8" s="180">
        <v>830</v>
      </c>
      <c r="J8" s="174">
        <v>850</v>
      </c>
      <c r="K8" s="41">
        <v>850</v>
      </c>
      <c r="L8" s="41">
        <v>850</v>
      </c>
      <c r="M8" s="182">
        <v>850</v>
      </c>
    </row>
    <row r="9" spans="1:13" x14ac:dyDescent="0.3">
      <c r="A9" s="145" t="s">
        <v>196</v>
      </c>
      <c r="B9" s="157">
        <f>B8*B7</f>
        <v>0</v>
      </c>
      <c r="C9" s="41">
        <f>C8*C7</f>
        <v>16000</v>
      </c>
      <c r="D9" s="41">
        <f t="shared" ref="D9:M9" si="0">D8*D7</f>
        <v>24000</v>
      </c>
      <c r="E9" s="158">
        <f t="shared" si="0"/>
        <v>40000</v>
      </c>
      <c r="F9" s="174">
        <f t="shared" si="0"/>
        <v>66400</v>
      </c>
      <c r="G9" s="41">
        <f t="shared" si="0"/>
        <v>83000</v>
      </c>
      <c r="H9" s="41">
        <f t="shared" si="0"/>
        <v>116200</v>
      </c>
      <c r="I9" s="180">
        <f t="shared" si="0"/>
        <v>149400</v>
      </c>
      <c r="J9" s="157">
        <f t="shared" si="0"/>
        <v>170000</v>
      </c>
      <c r="K9" s="41">
        <f t="shared" si="0"/>
        <v>195500</v>
      </c>
      <c r="L9" s="41">
        <f t="shared" si="0"/>
        <v>229500</v>
      </c>
      <c r="M9" s="158">
        <f t="shared" si="0"/>
        <v>255000</v>
      </c>
    </row>
    <row r="10" spans="1:13" x14ac:dyDescent="0.3">
      <c r="A10" s="145" t="s">
        <v>285</v>
      </c>
      <c r="B10" s="157"/>
      <c r="C10" s="69">
        <f>C7/100</f>
        <v>0.2</v>
      </c>
      <c r="D10" s="69">
        <f t="shared" ref="D10:E10" si="1">D7/100</f>
        <v>0.3</v>
      </c>
      <c r="E10" s="108">
        <f t="shared" si="1"/>
        <v>0.5</v>
      </c>
      <c r="F10" s="179">
        <f>F7/500</f>
        <v>0.16</v>
      </c>
      <c r="G10" s="69">
        <f t="shared" ref="G10:I10" si="2">G7/500</f>
        <v>0.2</v>
      </c>
      <c r="H10" s="69">
        <f t="shared" si="2"/>
        <v>0.28000000000000003</v>
      </c>
      <c r="I10" s="181">
        <f t="shared" si="2"/>
        <v>0.36</v>
      </c>
      <c r="J10" s="107">
        <f>J7/1000</f>
        <v>0.2</v>
      </c>
      <c r="K10" s="69">
        <f t="shared" ref="K10:M10" si="3">K7/1000</f>
        <v>0.23</v>
      </c>
      <c r="L10" s="69">
        <f t="shared" si="3"/>
        <v>0.27</v>
      </c>
      <c r="M10" s="108">
        <f t="shared" si="3"/>
        <v>0.3</v>
      </c>
    </row>
    <row r="11" spans="1:13" x14ac:dyDescent="0.3">
      <c r="A11" s="145" t="s">
        <v>261</v>
      </c>
      <c r="B11" s="174">
        <v>50000</v>
      </c>
      <c r="C11" s="41">
        <v>25000</v>
      </c>
      <c r="D11" s="41">
        <v>25000</v>
      </c>
      <c r="E11" s="178">
        <v>0</v>
      </c>
      <c r="F11" s="174">
        <v>50000</v>
      </c>
      <c r="G11" s="41">
        <v>25000</v>
      </c>
      <c r="H11" s="41">
        <v>25000</v>
      </c>
      <c r="I11" s="180">
        <v>0</v>
      </c>
      <c r="J11" s="157">
        <v>50000</v>
      </c>
      <c r="K11" s="41">
        <v>0</v>
      </c>
      <c r="L11" s="41">
        <v>0</v>
      </c>
      <c r="M11" s="158">
        <v>0</v>
      </c>
    </row>
    <row r="12" spans="1:13" x14ac:dyDescent="0.3">
      <c r="A12" s="144" t="s">
        <v>248</v>
      </c>
      <c r="B12" s="210"/>
      <c r="C12" s="211"/>
      <c r="D12" s="211"/>
      <c r="E12" s="212"/>
      <c r="F12" s="210"/>
      <c r="G12" s="211"/>
      <c r="H12" s="211"/>
      <c r="I12" s="211"/>
      <c r="J12" s="210"/>
      <c r="K12" s="211"/>
      <c r="L12" s="211"/>
      <c r="M12" s="212"/>
    </row>
    <row r="13" spans="1:13" ht="28.8" x14ac:dyDescent="0.3">
      <c r="A13" s="146" t="s">
        <v>227</v>
      </c>
      <c r="B13" s="157">
        <f>'Costi variabili e Costi fissi'!B8+'Costi variabili e Costi fissi'!B6/4+'Costi variabili e Costi fissi'!B9/4</f>
        <v>13025</v>
      </c>
      <c r="C13" s="41">
        <f>'Costi variabili e Costi fissi'!B6/4+'Costi variabili e Costi fissi'!B9/4</f>
        <v>10025</v>
      </c>
      <c r="D13" s="41">
        <f>C13</f>
        <v>10025</v>
      </c>
      <c r="E13" s="158">
        <f>D13</f>
        <v>10025</v>
      </c>
      <c r="F13" s="157">
        <f>'Costi variabili e Costi fissi'!C8/2+'Costi variabili e Costi fissi'!C6/4+'Costi variabili e Costi fissi'!C9/4</f>
        <v>52225</v>
      </c>
      <c r="G13" s="41">
        <f>'Costi variabili e Costi fissi'!C6/4+'Costi variabili e Costi fissi'!C9/4</f>
        <v>44725</v>
      </c>
      <c r="H13" s="41">
        <f>F13</f>
        <v>52225</v>
      </c>
      <c r="I13" s="175">
        <f>G13</f>
        <v>44725</v>
      </c>
      <c r="J13" s="157">
        <f>'Costi variabili e Costi fissi'!D8/2+'Costi variabili e Costi fissi'!D6/4+'Costi variabili e Costi fissi'!D9/4</f>
        <v>94550</v>
      </c>
      <c r="K13" s="41">
        <f>'Costi variabili e Costi fissi'!D6/4+'Costi variabili e Costi fissi'!D9/4</f>
        <v>79550</v>
      </c>
      <c r="L13" s="41">
        <f>J13</f>
        <v>94550</v>
      </c>
      <c r="M13" s="158">
        <f>K13</f>
        <v>79550</v>
      </c>
    </row>
    <row r="14" spans="1:13" s="80" customFormat="1" x14ac:dyDescent="0.3">
      <c r="A14" s="147" t="s">
        <v>286</v>
      </c>
      <c r="B14" s="204">
        <f>B13+C13+D13+E13</f>
        <v>43100</v>
      </c>
      <c r="C14" s="205"/>
      <c r="D14" s="205"/>
      <c r="E14" s="206"/>
      <c r="F14" s="204">
        <f>SUM(F13:I13)</f>
        <v>193900</v>
      </c>
      <c r="G14" s="205"/>
      <c r="H14" s="205"/>
      <c r="I14" s="207"/>
      <c r="J14" s="204">
        <f>SUM(J13:M13)</f>
        <v>348200</v>
      </c>
      <c r="K14" s="208"/>
      <c r="L14" s="208"/>
      <c r="M14" s="209"/>
    </row>
    <row r="15" spans="1:13" x14ac:dyDescent="0.3">
      <c r="A15" s="145" t="s">
        <v>228</v>
      </c>
      <c r="B15" s="157">
        <v>0</v>
      </c>
      <c r="C15" s="71">
        <f>'Costi variabili e Costi fissi'!B21</f>
        <v>7700</v>
      </c>
      <c r="D15" s="41">
        <v>0</v>
      </c>
      <c r="E15" s="158">
        <v>0</v>
      </c>
      <c r="F15" s="159">
        <f>'Costi variabili e Costi fissi'!C21/4</f>
        <v>6150</v>
      </c>
      <c r="G15" s="71">
        <f>F15</f>
        <v>6150</v>
      </c>
      <c r="H15" s="71">
        <f>F15</f>
        <v>6150</v>
      </c>
      <c r="I15" s="176">
        <f>F15</f>
        <v>6150</v>
      </c>
      <c r="J15" s="159">
        <f>'Costi variabili e Costi fissi'!D21/4</f>
        <v>10000</v>
      </c>
      <c r="K15" s="71">
        <f>J15</f>
        <v>10000</v>
      </c>
      <c r="L15" s="71">
        <f>J15</f>
        <v>10000</v>
      </c>
      <c r="M15" s="111">
        <f>J15</f>
        <v>10000</v>
      </c>
    </row>
    <row r="16" spans="1:13" x14ac:dyDescent="0.3">
      <c r="A16" s="145" t="s">
        <v>229</v>
      </c>
      <c r="B16" s="157">
        <v>0</v>
      </c>
      <c r="C16" s="71">
        <f>'Costi variabili e Costi fissi'!B23</f>
        <v>26400</v>
      </c>
      <c r="D16" s="41">
        <v>0</v>
      </c>
      <c r="E16" s="158">
        <v>0</v>
      </c>
      <c r="F16" s="159">
        <f>'Costi variabili e Costi fissi'!C23/4</f>
        <v>23100</v>
      </c>
      <c r="G16" s="71">
        <f>F16</f>
        <v>23100</v>
      </c>
      <c r="H16" s="71">
        <f>F16</f>
        <v>23100</v>
      </c>
      <c r="I16" s="176">
        <f>F16</f>
        <v>23100</v>
      </c>
      <c r="J16" s="159">
        <f>'Costi variabili e Costi fissi'!D23/4</f>
        <v>40000</v>
      </c>
      <c r="K16" s="71">
        <f>J16</f>
        <v>40000</v>
      </c>
      <c r="L16" s="71">
        <f>J16</f>
        <v>40000</v>
      </c>
      <c r="M16" s="111">
        <f>J16</f>
        <v>40000</v>
      </c>
    </row>
    <row r="17" spans="1:13" s="80" customFormat="1" x14ac:dyDescent="0.3">
      <c r="A17" s="147" t="s">
        <v>286</v>
      </c>
      <c r="B17" s="204">
        <f>SUM(B15:E16)</f>
        <v>34100</v>
      </c>
      <c r="C17" s="208"/>
      <c r="D17" s="208"/>
      <c r="E17" s="209"/>
      <c r="F17" s="204">
        <f>SUM(F15:I16)</f>
        <v>117000</v>
      </c>
      <c r="G17" s="208"/>
      <c r="H17" s="208"/>
      <c r="I17" s="213"/>
      <c r="J17" s="204">
        <f>SUM(J15:M16)</f>
        <v>200000</v>
      </c>
      <c r="K17" s="208"/>
      <c r="L17" s="208"/>
      <c r="M17" s="209"/>
    </row>
    <row r="18" spans="1:13" x14ac:dyDescent="0.3">
      <c r="A18" s="145" t="s">
        <v>182</v>
      </c>
      <c r="B18" s="157">
        <v>0</v>
      </c>
      <c r="C18" s="41">
        <f>'Costi variabili e Costi fissi'!B32/3</f>
        <v>1066.6666666666667</v>
      </c>
      <c r="D18" s="41">
        <f>C18</f>
        <v>1066.6666666666667</v>
      </c>
      <c r="E18" s="111">
        <f>C18</f>
        <v>1066.6666666666667</v>
      </c>
      <c r="F18" s="159">
        <f>'Costi variabili e Costi fissi'!C32/4</f>
        <v>3112.5</v>
      </c>
      <c r="G18" s="71">
        <f>F18</f>
        <v>3112.5</v>
      </c>
      <c r="H18" s="71">
        <f>F18</f>
        <v>3112.5</v>
      </c>
      <c r="I18" s="176">
        <f>F18</f>
        <v>3112.5</v>
      </c>
      <c r="J18" s="159">
        <f>'Costi variabili e Costi fissi'!D32/4</f>
        <v>4250</v>
      </c>
      <c r="K18" s="71">
        <f>J18</f>
        <v>4250</v>
      </c>
      <c r="L18" s="71">
        <f>J18</f>
        <v>4250</v>
      </c>
      <c r="M18" s="111">
        <f>J18</f>
        <v>4250</v>
      </c>
    </row>
    <row r="19" spans="1:13" s="80" customFormat="1" x14ac:dyDescent="0.3">
      <c r="A19" s="147" t="s">
        <v>286</v>
      </c>
      <c r="B19" s="204">
        <f>SUM(B18:E18)</f>
        <v>3200</v>
      </c>
      <c r="C19" s="208"/>
      <c r="D19" s="208"/>
      <c r="E19" s="209"/>
      <c r="F19" s="204">
        <f>SUM(F18:I18)</f>
        <v>12450</v>
      </c>
      <c r="G19" s="208"/>
      <c r="H19" s="208"/>
      <c r="I19" s="213"/>
      <c r="J19" s="204">
        <f>SUM(J18:M18)</f>
        <v>17000</v>
      </c>
      <c r="K19" s="208"/>
      <c r="L19" s="208"/>
      <c r="M19" s="209"/>
    </row>
    <row r="20" spans="1:13" x14ac:dyDescent="0.3">
      <c r="A20" s="145" t="s">
        <v>231</v>
      </c>
      <c r="B20" s="159">
        <f>'Costi variabili e Costi fissi'!I4/4</f>
        <v>3300</v>
      </c>
      <c r="C20" s="71">
        <f>B20</f>
        <v>3300</v>
      </c>
      <c r="D20" s="71">
        <f>B20</f>
        <v>3300</v>
      </c>
      <c r="E20" s="111">
        <f>B20</f>
        <v>3300</v>
      </c>
      <c r="F20" s="159">
        <f>'Costi variabili e Costi fissi'!J4/4</f>
        <v>3600</v>
      </c>
      <c r="G20" s="71">
        <f>F20</f>
        <v>3600</v>
      </c>
      <c r="H20" s="71">
        <f>F20</f>
        <v>3600</v>
      </c>
      <c r="I20" s="176">
        <f>F20</f>
        <v>3600</v>
      </c>
      <c r="J20" s="159">
        <f>'Costi variabili e Costi fissi'!K4/4</f>
        <v>5400</v>
      </c>
      <c r="K20" s="71">
        <f>J20</f>
        <v>5400</v>
      </c>
      <c r="L20" s="71">
        <f>J20</f>
        <v>5400</v>
      </c>
      <c r="M20" s="111">
        <f>J20</f>
        <v>5400</v>
      </c>
    </row>
    <row r="21" spans="1:13" x14ac:dyDescent="0.3">
      <c r="A21" s="145" t="s">
        <v>204</v>
      </c>
      <c r="B21" s="159">
        <f>'Costi variabili e Costi fissi'!I5/4</f>
        <v>1250</v>
      </c>
      <c r="C21" s="71">
        <f>B21</f>
        <v>1250</v>
      </c>
      <c r="D21" s="71">
        <f>B21</f>
        <v>1250</v>
      </c>
      <c r="E21" s="111">
        <f>B21</f>
        <v>1250</v>
      </c>
      <c r="F21" s="159">
        <f>'Costi variabili e Costi fissi'!J5/4</f>
        <v>1750</v>
      </c>
      <c r="G21" s="71">
        <f>F21</f>
        <v>1750</v>
      </c>
      <c r="H21" s="71">
        <f>F21</f>
        <v>1750</v>
      </c>
      <c r="I21" s="176">
        <f>F21</f>
        <v>1750</v>
      </c>
      <c r="J21" s="159">
        <f>'Costi variabili e Costi fissi'!K5/4</f>
        <v>2000</v>
      </c>
      <c r="K21" s="71">
        <f>J21</f>
        <v>2000</v>
      </c>
      <c r="L21" s="71">
        <f>J21</f>
        <v>2000</v>
      </c>
      <c r="M21" s="111">
        <f>J21</f>
        <v>2000</v>
      </c>
    </row>
    <row r="22" spans="1:13" ht="28.8" x14ac:dyDescent="0.3">
      <c r="A22" s="146" t="s">
        <v>232</v>
      </c>
      <c r="B22" s="159">
        <f>'Costi variabili e Costi fissi'!I6+'Costi variabili e Costi fissi'!I7+'Costi variabili e Costi fissi'!I8/2</f>
        <v>24300</v>
      </c>
      <c r="C22" s="41">
        <v>0</v>
      </c>
      <c r="D22" s="41">
        <f>'Costi variabili e Costi fissi'!I8/2</f>
        <v>6300</v>
      </c>
      <c r="E22" s="158">
        <v>0</v>
      </c>
      <c r="F22" s="157">
        <v>0</v>
      </c>
      <c r="G22" s="41">
        <v>0</v>
      </c>
      <c r="H22" s="41">
        <v>0</v>
      </c>
      <c r="I22" s="175">
        <v>0</v>
      </c>
      <c r="J22" s="157">
        <v>0</v>
      </c>
      <c r="K22" s="41">
        <v>0</v>
      </c>
      <c r="L22" s="41">
        <v>0</v>
      </c>
      <c r="M22" s="158">
        <v>0</v>
      </c>
    </row>
    <row r="23" spans="1:13" x14ac:dyDescent="0.3">
      <c r="A23" s="145" t="s">
        <v>233</v>
      </c>
      <c r="B23" s="159">
        <f>'Costi variabili e Costi fissi'!I18/4</f>
        <v>16250</v>
      </c>
      <c r="C23" s="71">
        <f>B23</f>
        <v>16250</v>
      </c>
      <c r="D23" s="71">
        <f>B23</f>
        <v>16250</v>
      </c>
      <c r="E23" s="111">
        <f>B23</f>
        <v>16250</v>
      </c>
      <c r="F23" s="159">
        <f>'Costi variabili e Costi fissi'!J18/4</f>
        <v>20000</v>
      </c>
      <c r="G23" s="71">
        <f>F23</f>
        <v>20000</v>
      </c>
      <c r="H23" s="71">
        <f>F23</f>
        <v>20000</v>
      </c>
      <c r="I23" s="176">
        <f>F23</f>
        <v>20000</v>
      </c>
      <c r="J23" s="159">
        <f>'Costi variabili e Costi fissi'!K18/4</f>
        <v>23750</v>
      </c>
      <c r="K23" s="71">
        <f>J23</f>
        <v>23750</v>
      </c>
      <c r="L23" s="71">
        <f>J23</f>
        <v>23750</v>
      </c>
      <c r="M23" s="111">
        <f>J23</f>
        <v>23750</v>
      </c>
    </row>
    <row r="24" spans="1:13" s="80" customFormat="1" x14ac:dyDescent="0.3">
      <c r="A24" s="147" t="s">
        <v>286</v>
      </c>
      <c r="B24" s="204">
        <f>SUM(B20:E23)</f>
        <v>113800</v>
      </c>
      <c r="C24" s="205"/>
      <c r="D24" s="205"/>
      <c r="E24" s="206"/>
      <c r="F24" s="204">
        <f>SUM(F20:I23)</f>
        <v>101400</v>
      </c>
      <c r="G24" s="205"/>
      <c r="H24" s="205"/>
      <c r="I24" s="207"/>
      <c r="J24" s="204">
        <f>SUM(J20:M23)</f>
        <v>124600</v>
      </c>
      <c r="K24" s="205"/>
      <c r="L24" s="205"/>
      <c r="M24" s="206"/>
    </row>
    <row r="25" spans="1:13" x14ac:dyDescent="0.3">
      <c r="A25" s="145" t="s">
        <v>234</v>
      </c>
      <c r="B25" s="159">
        <f>'OPEX e altri costi'!B7/4+'OPEX e altri costi'!B8/4</f>
        <v>1000</v>
      </c>
      <c r="C25" s="71">
        <f>B25</f>
        <v>1000</v>
      </c>
      <c r="D25" s="71">
        <f>B25</f>
        <v>1000</v>
      </c>
      <c r="E25" s="111">
        <f>B25</f>
        <v>1000</v>
      </c>
      <c r="F25" s="159">
        <f>'OPEX e altri costi'!C7/4+'OPEX e altri costi'!C8/4</f>
        <v>2386.25</v>
      </c>
      <c r="G25" s="71">
        <f>F25</f>
        <v>2386.25</v>
      </c>
      <c r="H25" s="71">
        <f>F25</f>
        <v>2386.25</v>
      </c>
      <c r="I25" s="176">
        <f>F25</f>
        <v>2386.25</v>
      </c>
      <c r="J25" s="159">
        <f>'OPEX e altri costi'!D7/4+'OPEX e altri costi'!D8/4</f>
        <v>3187.5</v>
      </c>
      <c r="K25" s="71">
        <f>J25</f>
        <v>3187.5</v>
      </c>
      <c r="L25" s="71">
        <f>J25</f>
        <v>3187.5</v>
      </c>
      <c r="M25" s="111">
        <f>J25</f>
        <v>3187.5</v>
      </c>
    </row>
    <row r="26" spans="1:13" x14ac:dyDescent="0.3">
      <c r="A26" s="145" t="s">
        <v>235</v>
      </c>
      <c r="B26" s="157">
        <v>0</v>
      </c>
      <c r="C26" s="71">
        <f>'OPEX e altri costi'!B9*0.2</f>
        <v>1600</v>
      </c>
      <c r="D26" s="71">
        <f>'OPEX e altri costi'!B9*0.3</f>
        <v>2400</v>
      </c>
      <c r="E26" s="111">
        <f>'OPEX e altri costi'!B9*0.5</f>
        <v>4000</v>
      </c>
      <c r="F26" s="159">
        <f>'OPEX e altri costi'!C9*'Cash Flow'!F10</f>
        <v>5312</v>
      </c>
      <c r="G26" s="71">
        <f>'OPEX e altri costi'!C9*'Cash Flow'!G10</f>
        <v>6640</v>
      </c>
      <c r="H26" s="71">
        <f>'OPEX e altri costi'!C9*'Cash Flow'!H10</f>
        <v>9296</v>
      </c>
      <c r="I26" s="176">
        <f>'OPEX e altri costi'!C9*'Cash Flow'!I10</f>
        <v>11952</v>
      </c>
      <c r="J26" s="159">
        <f>'OPEX e altri costi'!D9*'Cash Flow'!J10</f>
        <v>8500</v>
      </c>
      <c r="K26" s="71">
        <f>'OPEX e altri costi'!D9*'Cash Flow'!K10</f>
        <v>9775</v>
      </c>
      <c r="L26" s="71">
        <f>'OPEX e altri costi'!D9*'Cash Flow'!L10</f>
        <v>11475</v>
      </c>
      <c r="M26" s="111">
        <f>'OPEX e altri costi'!D9*'Cash Flow'!M10</f>
        <v>12750</v>
      </c>
    </row>
    <row r="27" spans="1:13" s="80" customFormat="1" x14ac:dyDescent="0.3">
      <c r="A27" s="147" t="s">
        <v>286</v>
      </c>
      <c r="B27" s="204">
        <f>SUM(B25:E26)</f>
        <v>12000</v>
      </c>
      <c r="C27" s="205"/>
      <c r="D27" s="205"/>
      <c r="E27" s="206"/>
      <c r="F27" s="204">
        <f>SUM(F25:I26)</f>
        <v>42745</v>
      </c>
      <c r="G27" s="208"/>
      <c r="H27" s="208"/>
      <c r="I27" s="213"/>
      <c r="J27" s="204">
        <f>SUM(J25:M26)</f>
        <v>55250</v>
      </c>
      <c r="K27" s="205"/>
      <c r="L27" s="205"/>
      <c r="M27" s="206"/>
    </row>
    <row r="28" spans="1:13" ht="28.8" x14ac:dyDescent="0.3">
      <c r="A28" s="146" t="s">
        <v>249</v>
      </c>
      <c r="B28" s="159">
        <f>'OPEX e altri costi'!L5/4</f>
        <v>485.5</v>
      </c>
      <c r="C28" s="71">
        <f>B28</f>
        <v>485.5</v>
      </c>
      <c r="D28" s="71">
        <f>B28</f>
        <v>485.5</v>
      </c>
      <c r="E28" s="111">
        <f>B28</f>
        <v>485.5</v>
      </c>
      <c r="F28" s="159">
        <f>'OPEX e altri costi'!M5/4</f>
        <v>1061.875</v>
      </c>
      <c r="G28" s="71">
        <f>F28</f>
        <v>1061.875</v>
      </c>
      <c r="H28" s="71">
        <f>F28</f>
        <v>1061.875</v>
      </c>
      <c r="I28" s="176">
        <f>F28</f>
        <v>1061.875</v>
      </c>
      <c r="J28" s="159">
        <f>'OPEX e altri costi'!N5/4</f>
        <v>1724.5</v>
      </c>
      <c r="K28" s="71">
        <f>J28</f>
        <v>1724.5</v>
      </c>
      <c r="L28" s="71">
        <f>J28</f>
        <v>1724.5</v>
      </c>
      <c r="M28" s="111">
        <f>J28</f>
        <v>1724.5</v>
      </c>
    </row>
    <row r="29" spans="1:13" x14ac:dyDescent="0.3">
      <c r="A29" s="145" t="s">
        <v>175</v>
      </c>
      <c r="B29" s="159">
        <f>'OPEX e altri costi'!L16/4</f>
        <v>213.25</v>
      </c>
      <c r="C29" s="71">
        <f>B29</f>
        <v>213.25</v>
      </c>
      <c r="D29" s="71">
        <f>B29</f>
        <v>213.25</v>
      </c>
      <c r="E29" s="111">
        <f>B29</f>
        <v>213.25</v>
      </c>
      <c r="F29" s="159">
        <f>'OPEX e altri costi'!M16/4</f>
        <v>575.61874999999998</v>
      </c>
      <c r="G29" s="71">
        <f>F29</f>
        <v>575.61874999999998</v>
      </c>
      <c r="H29" s="71">
        <f>F29</f>
        <v>575.61874999999998</v>
      </c>
      <c r="I29" s="176">
        <f>F29</f>
        <v>575.61874999999998</v>
      </c>
      <c r="J29" s="159">
        <f>'OPEX e altri costi'!N16/4</f>
        <v>921.3125</v>
      </c>
      <c r="K29" s="71">
        <f>J29</f>
        <v>921.3125</v>
      </c>
      <c r="L29" s="71">
        <f>J29</f>
        <v>921.3125</v>
      </c>
      <c r="M29" s="111">
        <f>J29</f>
        <v>921.3125</v>
      </c>
    </row>
    <row r="30" spans="1:13" x14ac:dyDescent="0.3">
      <c r="A30" s="145" t="s">
        <v>250</v>
      </c>
      <c r="B30" s="159">
        <f>'OPEX e altri costi'!L17/4</f>
        <v>127.95</v>
      </c>
      <c r="C30" s="71">
        <f>B30</f>
        <v>127.95</v>
      </c>
      <c r="D30" s="71">
        <f>B30</f>
        <v>127.95</v>
      </c>
      <c r="E30" s="111">
        <f>B30</f>
        <v>127.95</v>
      </c>
      <c r="F30" s="159">
        <f>'OPEX e altri costi'!M17/4</f>
        <v>345.37125000000003</v>
      </c>
      <c r="G30" s="71">
        <f>F30</f>
        <v>345.37125000000003</v>
      </c>
      <c r="H30" s="71">
        <f>F30</f>
        <v>345.37125000000003</v>
      </c>
      <c r="I30" s="176">
        <f>F30</f>
        <v>345.37125000000003</v>
      </c>
      <c r="J30" s="159">
        <f>'OPEX e altri costi'!N17/4</f>
        <v>552.78750000000002</v>
      </c>
      <c r="K30" s="71">
        <f>J30</f>
        <v>552.78750000000002</v>
      </c>
      <c r="L30" s="71">
        <f>J30</f>
        <v>552.78750000000002</v>
      </c>
      <c r="M30" s="111">
        <f>J30</f>
        <v>552.78750000000002</v>
      </c>
    </row>
    <row r="31" spans="1:13" s="80" customFormat="1" x14ac:dyDescent="0.3">
      <c r="A31" s="147" t="s">
        <v>286</v>
      </c>
      <c r="B31" s="204">
        <f>SUM(B28:E30)</f>
        <v>3306.7999999999993</v>
      </c>
      <c r="C31" s="205"/>
      <c r="D31" s="205"/>
      <c r="E31" s="206"/>
      <c r="F31" s="204">
        <f>SUM(F28:I30)</f>
        <v>7931.4599999999991</v>
      </c>
      <c r="G31" s="208"/>
      <c r="H31" s="208"/>
      <c r="I31" s="213"/>
      <c r="J31" s="204">
        <f>SUM(J28:M30)</f>
        <v>12794.400000000001</v>
      </c>
      <c r="K31" s="205"/>
      <c r="L31" s="205"/>
      <c r="M31" s="206"/>
    </row>
    <row r="32" spans="1:13" s="80" customFormat="1" x14ac:dyDescent="0.3">
      <c r="A32" s="147" t="s">
        <v>287</v>
      </c>
      <c r="B32" s="160">
        <f>B13+B15+B16+B18+B20+B21+B22+B23+B25+B26+B28+B29+B30</f>
        <v>59951.7</v>
      </c>
      <c r="C32" s="67">
        <f t="shared" ref="C32:M32" si="4">C13+C15+C16+C18+C20+C21+C22+C23+C25+C26+C28+C29+C30</f>
        <v>69418.366666666654</v>
      </c>
      <c r="D32" s="67">
        <f>D13+D15+D16+D18+D20+D21+D22+D23+D25+D26+D28+D29+D30</f>
        <v>42418.366666666661</v>
      </c>
      <c r="E32" s="91">
        <f t="shared" si="4"/>
        <v>37718.366666666661</v>
      </c>
      <c r="F32" s="160">
        <f t="shared" si="4"/>
        <v>119618.61499999999</v>
      </c>
      <c r="G32" s="67">
        <f t="shared" si="4"/>
        <v>113446.61499999999</v>
      </c>
      <c r="H32" s="67">
        <f t="shared" si="4"/>
        <v>123602.61499999999</v>
      </c>
      <c r="I32" s="177">
        <f t="shared" si="4"/>
        <v>118758.61499999999</v>
      </c>
      <c r="J32" s="160">
        <f t="shared" si="4"/>
        <v>194836.1</v>
      </c>
      <c r="K32" s="67">
        <f t="shared" si="4"/>
        <v>181111.1</v>
      </c>
      <c r="L32" s="67">
        <f t="shared" si="4"/>
        <v>197811.1</v>
      </c>
      <c r="M32" s="91">
        <f t="shared" si="4"/>
        <v>184086.1</v>
      </c>
    </row>
    <row r="33" spans="1:13" s="80" customFormat="1" ht="28.8" x14ac:dyDescent="0.3">
      <c r="A33" s="148" t="s">
        <v>288</v>
      </c>
      <c r="B33" s="222">
        <f>SUM(B32:E32)</f>
        <v>209506.8</v>
      </c>
      <c r="C33" s="223"/>
      <c r="D33" s="223"/>
      <c r="E33" s="224"/>
      <c r="F33" s="222">
        <f>SUM(F32:I32)</f>
        <v>475426.45999999996</v>
      </c>
      <c r="G33" s="223"/>
      <c r="H33" s="223"/>
      <c r="I33" s="223"/>
      <c r="J33" s="222">
        <f>SUM(J32:M32)</f>
        <v>757844.4</v>
      </c>
      <c r="K33" s="223"/>
      <c r="L33" s="223"/>
      <c r="M33" s="224"/>
    </row>
    <row r="34" spans="1:13" x14ac:dyDescent="0.3">
      <c r="A34" s="149"/>
      <c r="B34" s="210"/>
      <c r="C34" s="211"/>
      <c r="D34" s="211"/>
      <c r="E34" s="212"/>
      <c r="F34" s="210"/>
      <c r="G34" s="211"/>
      <c r="H34" s="211"/>
      <c r="I34" s="211"/>
      <c r="J34" s="210"/>
      <c r="K34" s="211"/>
      <c r="L34" s="211"/>
      <c r="M34" s="212"/>
    </row>
    <row r="35" spans="1:13" ht="28.8" x14ac:dyDescent="0.3">
      <c r="A35" s="172" t="s">
        <v>262</v>
      </c>
      <c r="B35" s="169">
        <f>B9-B32</f>
        <v>-59951.7</v>
      </c>
      <c r="C35" s="171">
        <f t="shared" ref="C35:M35" si="5">C9-C32</f>
        <v>-53418.366666666654</v>
      </c>
      <c r="D35" s="171">
        <f t="shared" si="5"/>
        <v>-18418.366666666661</v>
      </c>
      <c r="E35" s="170">
        <f t="shared" si="5"/>
        <v>2281.6333333333387</v>
      </c>
      <c r="F35" s="169">
        <f t="shared" si="5"/>
        <v>-53218.614999999991</v>
      </c>
      <c r="G35" s="171">
        <f t="shared" si="5"/>
        <v>-30446.614999999991</v>
      </c>
      <c r="H35" s="171">
        <f t="shared" si="5"/>
        <v>-7402.6149999999907</v>
      </c>
      <c r="I35" s="170">
        <f t="shared" si="5"/>
        <v>30641.385000000009</v>
      </c>
      <c r="J35" s="169">
        <f t="shared" si="5"/>
        <v>-24836.100000000006</v>
      </c>
      <c r="K35" s="171">
        <f t="shared" si="5"/>
        <v>14388.899999999994</v>
      </c>
      <c r="L35" s="171">
        <f t="shared" si="5"/>
        <v>31688.899999999994</v>
      </c>
      <c r="M35" s="183">
        <f t="shared" si="5"/>
        <v>70913.899999999994</v>
      </c>
    </row>
    <row r="36" spans="1:13" s="80" customFormat="1" x14ac:dyDescent="0.3">
      <c r="A36" s="150" t="s">
        <v>251</v>
      </c>
      <c r="B36" s="160">
        <f>B9+B11-B32</f>
        <v>-9951.6999999999971</v>
      </c>
      <c r="C36" s="67">
        <f t="shared" ref="C36:M36" si="6">C9+C11-C32</f>
        <v>-28418.366666666654</v>
      </c>
      <c r="D36" s="67">
        <f t="shared" si="6"/>
        <v>6581.6333333333387</v>
      </c>
      <c r="E36" s="91">
        <f t="shared" si="6"/>
        <v>2281.6333333333387</v>
      </c>
      <c r="F36" s="160">
        <f t="shared" si="6"/>
        <v>-3218.6149999999907</v>
      </c>
      <c r="G36" s="67">
        <f t="shared" si="6"/>
        <v>-5446.6149999999907</v>
      </c>
      <c r="H36" s="67">
        <f t="shared" si="6"/>
        <v>17597.385000000009</v>
      </c>
      <c r="I36" s="177">
        <f t="shared" si="6"/>
        <v>30641.385000000009</v>
      </c>
      <c r="J36" s="160">
        <f t="shared" si="6"/>
        <v>25163.899999999994</v>
      </c>
      <c r="K36" s="67">
        <f t="shared" si="6"/>
        <v>14388.899999999994</v>
      </c>
      <c r="L36" s="67">
        <f t="shared" si="6"/>
        <v>31688.899999999994</v>
      </c>
      <c r="M36" s="91">
        <f t="shared" si="6"/>
        <v>70913.899999999994</v>
      </c>
    </row>
    <row r="37" spans="1:13" ht="28.8" x14ac:dyDescent="0.3">
      <c r="A37" s="151" t="s">
        <v>284</v>
      </c>
      <c r="B37" s="159">
        <f>B36</f>
        <v>-9951.6999999999971</v>
      </c>
      <c r="C37" s="71">
        <f>B36+C36</f>
        <v>-38370.066666666651</v>
      </c>
      <c r="D37" s="71">
        <f>C37+D36</f>
        <v>-31788.433333333312</v>
      </c>
      <c r="E37" s="111">
        <f>D37+E36</f>
        <v>-29506.799999999974</v>
      </c>
      <c r="F37" s="159">
        <f>E37+F36</f>
        <v>-32725.414999999964</v>
      </c>
      <c r="G37" s="71">
        <f t="shared" ref="G37:M37" si="7">F37+G36</f>
        <v>-38172.029999999955</v>
      </c>
      <c r="H37" s="71">
        <f t="shared" si="7"/>
        <v>-20574.644999999946</v>
      </c>
      <c r="I37" s="176">
        <f t="shared" si="7"/>
        <v>10066.740000000063</v>
      </c>
      <c r="J37" s="159">
        <f t="shared" si="7"/>
        <v>35230.640000000058</v>
      </c>
      <c r="K37" s="71">
        <f>J37+K36</f>
        <v>49619.540000000052</v>
      </c>
      <c r="L37" s="71">
        <f t="shared" si="7"/>
        <v>81308.440000000046</v>
      </c>
      <c r="M37" s="111">
        <f t="shared" si="7"/>
        <v>152222.34000000003</v>
      </c>
    </row>
    <row r="38" spans="1:13" ht="15" thickBot="1" x14ac:dyDescent="0.35">
      <c r="A38" s="147" t="s">
        <v>289</v>
      </c>
      <c r="B38" s="214">
        <f>SUM(B37:E37)</f>
        <v>-109616.99999999993</v>
      </c>
      <c r="C38" s="215"/>
      <c r="D38" s="215"/>
      <c r="E38" s="216"/>
      <c r="F38" s="217">
        <f>SUM(F37:I37)</f>
        <v>-81405.349999999802</v>
      </c>
      <c r="G38" s="218"/>
      <c r="H38" s="218"/>
      <c r="I38" s="219"/>
      <c r="J38" s="214">
        <f>SUM(J37:M37)</f>
        <v>318380.9600000002</v>
      </c>
      <c r="K38" s="220"/>
      <c r="L38" s="220"/>
      <c r="M38" s="221"/>
    </row>
    <row r="45" spans="1:13" ht="15" thickBot="1" x14ac:dyDescent="0.35"/>
    <row r="46" spans="1:13" x14ac:dyDescent="0.3">
      <c r="B46" s="161" t="s">
        <v>243</v>
      </c>
      <c r="C46" s="162" t="s">
        <v>244</v>
      </c>
      <c r="D46" s="162" t="s">
        <v>245</v>
      </c>
      <c r="E46" s="163" t="s">
        <v>246</v>
      </c>
      <c r="F46" s="161" t="s">
        <v>243</v>
      </c>
      <c r="G46" s="162" t="s">
        <v>244</v>
      </c>
      <c r="H46" s="162" t="s">
        <v>245</v>
      </c>
      <c r="I46" s="163" t="s">
        <v>246</v>
      </c>
      <c r="J46" s="161" t="s">
        <v>243</v>
      </c>
      <c r="K46" s="162" t="s">
        <v>244</v>
      </c>
      <c r="L46" s="162" t="s">
        <v>245</v>
      </c>
      <c r="M46" s="163" t="s">
        <v>246</v>
      </c>
    </row>
    <row r="47" spans="1:13" x14ac:dyDescent="0.3">
      <c r="A47" s="150" t="s">
        <v>251</v>
      </c>
      <c r="B47" s="160">
        <f>B36</f>
        <v>-9951.6999999999971</v>
      </c>
      <c r="C47" s="67">
        <f>C36</f>
        <v>-28418.366666666654</v>
      </c>
      <c r="D47" s="67">
        <f t="shared" ref="D47:M47" si="8">D36</f>
        <v>6581.6333333333387</v>
      </c>
      <c r="E47" s="91">
        <f t="shared" si="8"/>
        <v>2281.6333333333387</v>
      </c>
      <c r="F47" s="160">
        <f t="shared" si="8"/>
        <v>-3218.6149999999907</v>
      </c>
      <c r="G47" s="67">
        <f t="shared" si="8"/>
        <v>-5446.6149999999907</v>
      </c>
      <c r="H47" s="67">
        <f t="shared" si="8"/>
        <v>17597.385000000009</v>
      </c>
      <c r="I47" s="91">
        <f t="shared" si="8"/>
        <v>30641.385000000009</v>
      </c>
      <c r="J47" s="160">
        <f t="shared" si="8"/>
        <v>25163.899999999994</v>
      </c>
      <c r="K47" s="67">
        <f t="shared" si="8"/>
        <v>14388.899999999994</v>
      </c>
      <c r="L47" s="67">
        <f t="shared" si="8"/>
        <v>31688.899999999994</v>
      </c>
      <c r="M47" s="91">
        <f t="shared" si="8"/>
        <v>70913.899999999994</v>
      </c>
    </row>
    <row r="48" spans="1:13" ht="29.4" thickBot="1" x14ac:dyDescent="0.35">
      <c r="A48" s="151" t="s">
        <v>284</v>
      </c>
      <c r="B48" s="164">
        <f>B47</f>
        <v>-9951.6999999999971</v>
      </c>
      <c r="C48" s="165">
        <f>B47+C47</f>
        <v>-38370.066666666651</v>
      </c>
      <c r="D48" s="165">
        <f>C48+D47</f>
        <v>-31788.433333333312</v>
      </c>
      <c r="E48" s="166">
        <f>D48+E47</f>
        <v>-29506.799999999974</v>
      </c>
      <c r="F48" s="164">
        <f>E48+F47</f>
        <v>-32725.414999999964</v>
      </c>
      <c r="G48" s="165">
        <f t="shared" ref="G48" si="9">F48+G47</f>
        <v>-38172.029999999955</v>
      </c>
      <c r="H48" s="165">
        <f t="shared" ref="H48" si="10">G48+H47</f>
        <v>-20574.644999999946</v>
      </c>
      <c r="I48" s="166">
        <f t="shared" ref="I48" si="11">H48+I47</f>
        <v>10066.740000000063</v>
      </c>
      <c r="J48" s="164">
        <f t="shared" ref="J48" si="12">I48+J47</f>
        <v>35230.640000000058</v>
      </c>
      <c r="K48" s="165">
        <f>J48+K47</f>
        <v>49619.540000000052</v>
      </c>
      <c r="L48" s="165">
        <f t="shared" ref="L48" si="13">K48+L47</f>
        <v>81308.440000000046</v>
      </c>
      <c r="M48" s="166">
        <f t="shared" ref="M48" si="14">L48+M47</f>
        <v>152222.34000000003</v>
      </c>
    </row>
    <row r="67" spans="1:13" ht="15" thickBot="1" x14ac:dyDescent="0.35"/>
    <row r="68" spans="1:13" x14ac:dyDescent="0.3">
      <c r="B68" s="161" t="s">
        <v>243</v>
      </c>
      <c r="C68" s="162" t="s">
        <v>244</v>
      </c>
      <c r="D68" s="162" t="s">
        <v>245</v>
      </c>
      <c r="E68" s="163" t="s">
        <v>246</v>
      </c>
      <c r="F68" s="161" t="s">
        <v>243</v>
      </c>
      <c r="G68" s="162" t="s">
        <v>244</v>
      </c>
      <c r="H68" s="162" t="s">
        <v>245</v>
      </c>
      <c r="I68" s="163" t="s">
        <v>246</v>
      </c>
      <c r="J68" s="161" t="s">
        <v>243</v>
      </c>
      <c r="K68" s="162" t="s">
        <v>244</v>
      </c>
      <c r="L68" s="162" t="s">
        <v>245</v>
      </c>
      <c r="M68" s="163" t="s">
        <v>246</v>
      </c>
    </row>
    <row r="69" spans="1:13" x14ac:dyDescent="0.3">
      <c r="A69" s="167" t="s">
        <v>287</v>
      </c>
      <c r="B69" s="71">
        <f>B32</f>
        <v>59951.7</v>
      </c>
      <c r="C69" s="71">
        <f t="shared" ref="C69:M69" si="15">C32</f>
        <v>69418.366666666654</v>
      </c>
      <c r="D69" s="71">
        <f t="shared" si="15"/>
        <v>42418.366666666661</v>
      </c>
      <c r="E69" s="71">
        <f t="shared" si="15"/>
        <v>37718.366666666661</v>
      </c>
      <c r="F69" s="71">
        <f t="shared" si="15"/>
        <v>119618.61499999999</v>
      </c>
      <c r="G69" s="71">
        <f t="shared" si="15"/>
        <v>113446.61499999999</v>
      </c>
      <c r="H69" s="71">
        <f t="shared" si="15"/>
        <v>123602.61499999999</v>
      </c>
      <c r="I69" s="71">
        <f t="shared" si="15"/>
        <v>118758.61499999999</v>
      </c>
      <c r="J69" s="71">
        <f t="shared" si="15"/>
        <v>194836.1</v>
      </c>
      <c r="K69" s="71">
        <f t="shared" si="15"/>
        <v>181111.1</v>
      </c>
      <c r="L69" s="71">
        <f t="shared" si="15"/>
        <v>197811.1</v>
      </c>
      <c r="M69" s="71">
        <f t="shared" si="15"/>
        <v>184086.1</v>
      </c>
    </row>
    <row r="70" spans="1:13" x14ac:dyDescent="0.3">
      <c r="A70" s="168" t="s">
        <v>422</v>
      </c>
      <c r="B70" s="71">
        <f>B9+B11</f>
        <v>50000</v>
      </c>
      <c r="C70" s="71">
        <f>C9+C11</f>
        <v>41000</v>
      </c>
      <c r="D70" s="71">
        <f t="shared" ref="D70:M70" si="16">D9+D11</f>
        <v>49000</v>
      </c>
      <c r="E70" s="71">
        <f t="shared" si="16"/>
        <v>40000</v>
      </c>
      <c r="F70" s="71">
        <f>F9+F11</f>
        <v>116400</v>
      </c>
      <c r="G70" s="71">
        <f t="shared" si="16"/>
        <v>108000</v>
      </c>
      <c r="H70" s="71">
        <f t="shared" si="16"/>
        <v>141200</v>
      </c>
      <c r="I70" s="71">
        <f t="shared" si="16"/>
        <v>149400</v>
      </c>
      <c r="J70" s="71">
        <f t="shared" si="16"/>
        <v>220000</v>
      </c>
      <c r="K70" s="71">
        <f t="shared" si="16"/>
        <v>195500</v>
      </c>
      <c r="L70" s="71">
        <f t="shared" si="16"/>
        <v>229500</v>
      </c>
      <c r="M70" s="71">
        <f t="shared" si="16"/>
        <v>255000</v>
      </c>
    </row>
    <row r="71" spans="1:13" ht="28.8" x14ac:dyDescent="0.3">
      <c r="A71" s="151" t="s">
        <v>423</v>
      </c>
      <c r="B71" s="71">
        <f t="shared" ref="B71:M71" si="17">B48</f>
        <v>-9951.6999999999971</v>
      </c>
      <c r="C71" s="71">
        <f t="shared" si="17"/>
        <v>-38370.066666666651</v>
      </c>
      <c r="D71" s="71">
        <f t="shared" si="17"/>
        <v>-31788.433333333312</v>
      </c>
      <c r="E71" s="71">
        <f t="shared" si="17"/>
        <v>-29506.799999999974</v>
      </c>
      <c r="F71" s="71">
        <f t="shared" si="17"/>
        <v>-32725.414999999964</v>
      </c>
      <c r="G71" s="71">
        <f t="shared" si="17"/>
        <v>-38172.029999999955</v>
      </c>
      <c r="H71" s="71">
        <f t="shared" si="17"/>
        <v>-20574.644999999946</v>
      </c>
      <c r="I71" s="71">
        <f t="shared" si="17"/>
        <v>10066.740000000063</v>
      </c>
      <c r="J71" s="71">
        <f t="shared" si="17"/>
        <v>35230.640000000058</v>
      </c>
      <c r="K71" s="71">
        <f t="shared" si="17"/>
        <v>49619.540000000052</v>
      </c>
      <c r="L71" s="71">
        <f t="shared" si="17"/>
        <v>81308.440000000046</v>
      </c>
      <c r="M71" s="71">
        <f t="shared" si="17"/>
        <v>152222.34000000003</v>
      </c>
    </row>
  </sheetData>
  <mergeCells count="33">
    <mergeCell ref="B31:E31"/>
    <mergeCell ref="F31:I31"/>
    <mergeCell ref="J31:M31"/>
    <mergeCell ref="B33:E33"/>
    <mergeCell ref="F33:I33"/>
    <mergeCell ref="J33:M33"/>
    <mergeCell ref="B38:E38"/>
    <mergeCell ref="F38:I38"/>
    <mergeCell ref="J38:M38"/>
    <mergeCell ref="B34:E34"/>
    <mergeCell ref="F34:I34"/>
    <mergeCell ref="J34:M34"/>
    <mergeCell ref="B27:E27"/>
    <mergeCell ref="F27:I27"/>
    <mergeCell ref="J27:M27"/>
    <mergeCell ref="B17:E17"/>
    <mergeCell ref="F17:I17"/>
    <mergeCell ref="J17:M17"/>
    <mergeCell ref="B19:E19"/>
    <mergeCell ref="F19:I19"/>
    <mergeCell ref="J19:M19"/>
    <mergeCell ref="B24:E24"/>
    <mergeCell ref="F24:I24"/>
    <mergeCell ref="J24:M24"/>
    <mergeCell ref="B4:E4"/>
    <mergeCell ref="F4:I4"/>
    <mergeCell ref="J4:M4"/>
    <mergeCell ref="B14:E14"/>
    <mergeCell ref="F14:I14"/>
    <mergeCell ref="J14:M14"/>
    <mergeCell ref="B12:E12"/>
    <mergeCell ref="F12:I12"/>
    <mergeCell ref="J12:M12"/>
  </mergeCells>
  <pageMargins left="0.7" right="0.7" top="0.75" bottom="0.75" header="0.3" footer="0.3"/>
  <ignoredErrors>
    <ignoredError sqref="D22" formula="1"/>
  </ignoredErrors>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9</vt:i4>
      </vt:variant>
    </vt:vector>
  </HeadingPairs>
  <TitlesOfParts>
    <vt:vector size="9" baseType="lpstr">
      <vt:lpstr>Juakit BP</vt:lpstr>
      <vt:lpstr>Analisi di mercato</vt:lpstr>
      <vt:lpstr>Analisi dei competitors</vt:lpstr>
      <vt:lpstr>Analisi costi prototipo</vt:lpstr>
      <vt:lpstr>Spiegazioni dei valori di costo</vt:lpstr>
      <vt:lpstr>Costi variabili e Costi fissi</vt:lpstr>
      <vt:lpstr>OPEX e altri costi</vt:lpstr>
      <vt:lpstr>Financial Plan</vt:lpstr>
      <vt:lpstr>Cash Flow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Olivieri  Giorgia</dc:creator>
  <cp:lastModifiedBy>Olivieri  Giorgia</cp:lastModifiedBy>
  <dcterms:created xsi:type="dcterms:W3CDTF">2025-07-22T10:47:35Z</dcterms:created>
  <dcterms:modified xsi:type="dcterms:W3CDTF">2025-08-29T08:52:27Z</dcterms:modified>
</cp:coreProperties>
</file>